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9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9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8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SV Norge 1\Dropbox\01Documents\Møter\RSM\Høst 2019\Sakspspirer\"/>
    </mc:Choice>
  </mc:AlternateContent>
  <xr:revisionPtr revIDLastSave="0" documentId="13_ncr:81_{C8061082-AB29-4A88-8E2B-FEF02A5F4E22}" xr6:coauthVersionLast="45" xr6:coauthVersionMax="45" xr10:uidLastSave="{00000000-0000-0000-0000-000000000000}"/>
  <bookViews>
    <workbookView xWindow="-110" yWindow="-110" windowWidth="19420" windowHeight="10420" tabRatio="725" firstSheet="1" activeTab="1" xr2:uid="{00000000-000D-0000-FFFF-FFFF00000000}"/>
  </bookViews>
  <sheets>
    <sheet name="Budsjettanalyse" sheetId="1" r:id="rId1"/>
    <sheet name="Budsjett_enkel" sheetId="2" r:id="rId2"/>
    <sheet name="Sentralt" sheetId="3" r:id="rId3"/>
    <sheet name="Program" sheetId="4" r:id="rId4"/>
    <sheet name="Oversikt Pris" sheetId="5" r:id="rId5"/>
    <sheet name="Komiteer" sheetId="6" r:id="rId6"/>
    <sheet name="Prosjekter" sheetId="10" r:id="rId7"/>
    <sheet name="Oversikt Variabler" sheetId="8" r:id="rId8"/>
    <sheet name="C10 2019" sheetId="16" state="hidden" r:id="rId9"/>
    <sheet name="FinansFond" sheetId="7" r:id="rId10"/>
    <sheet name="Landsmøtet" sheetId="17" r:id="rId11"/>
    <sheet name="Høstmøtet" sheetId="12" r:id="rId12"/>
    <sheet name="Jukselapp-deltakelse" sheetId="9" state="hidden" r:id="rId13"/>
    <sheet name="Knuts huskeliste" sheetId="11" state="hidden" r:id="rId14"/>
    <sheet name="Knuts jukselapp2" sheetId="13" state="hidden" r:id="rId15"/>
    <sheet name="Noter etter endring" sheetId="14" state="hidden" r:id="rId16"/>
    <sheet name="Kompaz" sheetId="15" state="hidden" r:id="rId17"/>
  </sheets>
  <definedNames>
    <definedName name="Z_106B7A88_9D1E_4D22_9DE1_7E44A908E830_.wvu.Cols" localSheetId="1" hidden="1">Budsjett_enkel!$D:$E,Budsjett_enkel!$G:$G,Budsjett_enkel!$I:$I,Budsjett_enkel!$K:$K,Budsjett_enkel!$M:$M</definedName>
    <definedName name="Z_106B7A88_9D1E_4D22_9DE1_7E44A908E830_.wvu.Cols" localSheetId="4" hidden="1">'Oversikt Pris'!$N:$N</definedName>
    <definedName name="Z_106B7A88_9D1E_4D22_9DE1_7E44A908E830_.wvu.Cols" localSheetId="7" hidden="1">'Oversikt Variabler'!$H:$L</definedName>
    <definedName name="Z_845F3A43_EF96_4057_9777_D2F2301CC149_.wvu.Cols" localSheetId="1" hidden="1">Budsjett_enkel!$D:$E,Budsjett_enkel!$G:$G,Budsjett_enkel!$I:$I,Budsjett_enkel!$K:$K,Budsjett_enkel!$M:$M</definedName>
    <definedName name="Z_845F3A43_EF96_4057_9777_D2F2301CC149_.wvu.Cols" localSheetId="4" hidden="1">'Oversikt Pris'!$N:$N</definedName>
    <definedName name="Z_845F3A43_EF96_4057_9777_D2F2301CC149_.wvu.Cols" localSheetId="7" hidden="1">'Oversikt Variabler'!$H:$L</definedName>
    <definedName name="Z_CF50DB9B_0F8D_41A5_9576_F9345942CE97_.wvu.Cols" localSheetId="1" hidden="1">Budsjett_enkel!$D:$E</definedName>
    <definedName name="Z_CF50DB9B_0F8D_41A5_9576_F9345942CE97_.wvu.Cols" localSheetId="0" hidden="1">Budsjettanalyse!#REF!</definedName>
  </definedNames>
  <calcPr calcId="191029"/>
  <customWorkbookViews>
    <customWorkbookView name="CISV Norge 1 - Personlig visning" guid="{106B7A88-9D1E-4D22-9DE1-7E44A908E830}" mergeInterval="0" personalView="1" maximized="1" xWindow="-11" yWindow="-11" windowWidth="1942" windowHeight="1042" tabRatio="725" activeSheetId="2"/>
    <customWorkbookView name="Ingrid - Personal View" guid="{CF50DB9B-0F8D-41A5-9576-F9345942CE97}" mergeInterval="0" personalView="1" maximized="1" xWindow="-11" yWindow="-11" windowWidth="1942" windowHeight="1042" tabRatio="725" activeSheetId="2"/>
    <customWorkbookView name="Knut A. M. Berge - Personlig visning" guid="{B8CD8764-8103-4BA7-A294-F5FED5EA74ED}" mergeInterval="0" personalView="1" xWindow="-13" windowWidth="810" windowHeight="852" tabRatio="725" activeSheetId="1"/>
    <customWorkbookView name="Berge, Knut Audun Monen - Personlig visning" guid="{845F3A43-EF96-4057-9777-D2F2301CC149}" mergeInterval="0" personalView="1" maximized="1" xWindow="1912" yWindow="298" windowWidth="1936" windowHeight="1056" tabRatio="72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4" i="3" l="1"/>
  <c r="F60" i="2" l="1"/>
  <c r="B34" i="12" l="1"/>
  <c r="E75" i="1" l="1"/>
  <c r="C75" i="1"/>
  <c r="B8" i="6"/>
  <c r="D89" i="1"/>
  <c r="C35" i="2"/>
  <c r="C36" i="2"/>
  <c r="C34" i="2"/>
  <c r="D50" i="1"/>
  <c r="C44" i="1"/>
  <c r="E13" i="5"/>
  <c r="E12" i="5"/>
  <c r="D13" i="5"/>
  <c r="D12" i="5"/>
  <c r="C13" i="5"/>
  <c r="B13" i="5"/>
  <c r="J23" i="5"/>
  <c r="J24" i="5"/>
  <c r="J25" i="5"/>
  <c r="J22" i="5"/>
  <c r="J31" i="5"/>
  <c r="J35" i="5"/>
  <c r="J34" i="5"/>
  <c r="G55" i="5"/>
  <c r="G54" i="5"/>
  <c r="F54" i="5"/>
  <c r="E55" i="5"/>
  <c r="E54" i="5"/>
  <c r="D55" i="5"/>
  <c r="C55" i="5"/>
  <c r="B54" i="5"/>
  <c r="B42" i="5"/>
  <c r="H67" i="2"/>
  <c r="D26" i="3" l="1"/>
  <c r="B26" i="3"/>
  <c r="G25" i="17"/>
  <c r="F24" i="17"/>
  <c r="C24" i="17"/>
  <c r="D24" i="17" s="1"/>
  <c r="F23" i="17"/>
  <c r="C23" i="17"/>
  <c r="D23" i="17" s="1"/>
  <c r="C17" i="17"/>
  <c r="D17" i="17" s="1"/>
  <c r="D12" i="17"/>
  <c r="G18" i="17" s="1"/>
  <c r="C16" i="17"/>
  <c r="D16" i="17" s="1"/>
  <c r="F17" i="17"/>
  <c r="F16" i="17"/>
  <c r="N13" i="17"/>
  <c r="N22" i="17" s="1"/>
  <c r="N4" i="17" s="1"/>
  <c r="D11" i="17"/>
  <c r="D10" i="17"/>
  <c r="H22" i="12"/>
  <c r="K24" i="12"/>
  <c r="G23" i="17" l="1"/>
  <c r="G24" i="17"/>
  <c r="G17" i="17"/>
  <c r="G16" i="17"/>
  <c r="G26" i="17" l="1"/>
  <c r="G29" i="17" s="1"/>
  <c r="B10" i="3" s="1"/>
  <c r="G20" i="17"/>
  <c r="G30" i="17" s="1"/>
  <c r="M16" i="12" l="1"/>
  <c r="C21" i="12"/>
  <c r="C20" i="12"/>
  <c r="C17" i="12"/>
  <c r="C16" i="12"/>
  <c r="K31" i="12"/>
  <c r="K32" i="12"/>
  <c r="K33" i="12"/>
  <c r="K34" i="12"/>
  <c r="H11" i="12"/>
  <c r="H9" i="12"/>
  <c r="H10" i="12"/>
  <c r="H8" i="12"/>
  <c r="B25" i="8" l="1"/>
  <c r="B14" i="3"/>
  <c r="B13" i="3"/>
  <c r="H8" i="6"/>
  <c r="K24" i="6"/>
  <c r="B85" i="3"/>
  <c r="B79" i="3"/>
  <c r="B54" i="3"/>
  <c r="B58" i="3"/>
  <c r="B12" i="3"/>
  <c r="C74" i="5"/>
  <c r="B74" i="5"/>
  <c r="F27" i="4"/>
  <c r="B62" i="5"/>
  <c r="B63" i="5"/>
  <c r="C51" i="5"/>
  <c r="D51" i="5"/>
  <c r="E51" i="5"/>
  <c r="F51" i="5"/>
  <c r="G51" i="5"/>
  <c r="B51" i="5"/>
  <c r="B38" i="5"/>
  <c r="C23" i="5"/>
  <c r="D23" i="5"/>
  <c r="E23" i="5"/>
  <c r="B23" i="5"/>
  <c r="G50" i="5"/>
  <c r="F50" i="5"/>
  <c r="E50" i="5"/>
  <c r="C50" i="5"/>
  <c r="D50" i="5"/>
  <c r="B50" i="5"/>
  <c r="B37" i="5"/>
  <c r="C22" i="5"/>
  <c r="D22" i="5"/>
  <c r="E22" i="5"/>
  <c r="B22" i="5"/>
  <c r="C8" i="5"/>
  <c r="D8" i="5"/>
  <c r="E8" i="5"/>
  <c r="F8" i="5"/>
  <c r="B8" i="5"/>
  <c r="B6" i="3"/>
  <c r="B50" i="3"/>
  <c r="B83" i="3"/>
  <c r="B68" i="3"/>
  <c r="G12" i="4"/>
  <c r="G47" i="4" s="1"/>
  <c r="F12" i="4"/>
  <c r="F47" i="4" s="1"/>
  <c r="E12" i="4"/>
  <c r="E47" i="4" s="1"/>
  <c r="D12" i="4"/>
  <c r="D47" i="4" s="1"/>
  <c r="C12" i="4"/>
  <c r="C47" i="4" s="1"/>
  <c r="B12" i="4"/>
  <c r="B47" i="4" s="1"/>
  <c r="B13" i="4"/>
  <c r="B88" i="8"/>
  <c r="F13" i="4" s="1"/>
  <c r="B82" i="8"/>
  <c r="B81" i="8"/>
  <c r="K83" i="8"/>
  <c r="L83" i="8" s="1"/>
  <c r="K85" i="8"/>
  <c r="L85" i="8" s="1"/>
  <c r="K82" i="8"/>
  <c r="L82" i="8" s="1"/>
  <c r="J89" i="8"/>
  <c r="I89" i="8"/>
  <c r="K89" i="8" s="1"/>
  <c r="J88" i="8"/>
  <c r="L88" i="8" s="1"/>
  <c r="I88" i="8"/>
  <c r="K88" i="8" s="1"/>
  <c r="J86" i="8"/>
  <c r="B85" i="8" s="1"/>
  <c r="I86" i="8"/>
  <c r="K86" i="8" s="1"/>
  <c r="J87" i="8"/>
  <c r="I87" i="8"/>
  <c r="K87" i="8" s="1"/>
  <c r="J85" i="8"/>
  <c r="B84" i="8" s="1"/>
  <c r="I85" i="8"/>
  <c r="J84" i="8"/>
  <c r="I84" i="8"/>
  <c r="J83" i="8"/>
  <c r="I83" i="8"/>
  <c r="J82" i="8"/>
  <c r="I82" i="8"/>
  <c r="B58" i="8"/>
  <c r="E13" i="4" l="1"/>
  <c r="L89" i="8"/>
  <c r="L87" i="8"/>
  <c r="B86" i="8"/>
  <c r="B87" i="8"/>
  <c r="B83" i="8"/>
  <c r="C13" i="4" s="1"/>
  <c r="K84" i="8"/>
  <c r="L84" i="8" s="1"/>
  <c r="L86" i="8"/>
  <c r="B19" i="8" l="1"/>
  <c r="B20" i="8"/>
  <c r="B21" i="8"/>
  <c r="I18" i="8"/>
  <c r="J18" i="8" s="1"/>
  <c r="J17" i="8"/>
  <c r="K17" i="8" s="1"/>
  <c r="J16" i="8"/>
  <c r="K16" i="8" s="1"/>
  <c r="J15" i="8"/>
  <c r="K15" i="8" s="1"/>
  <c r="K10" i="8"/>
  <c r="J7" i="8"/>
  <c r="K7" i="8" s="1"/>
  <c r="I6" i="8"/>
  <c r="J6" i="8" s="1"/>
  <c r="K6" i="8" s="1"/>
  <c r="J5" i="8"/>
  <c r="K5" i="8" s="1"/>
  <c r="J4" i="8"/>
  <c r="K4" i="8" s="1"/>
  <c r="I3" i="8"/>
  <c r="J3" i="8" s="1"/>
  <c r="K3" i="8" s="1"/>
  <c r="L2" i="8"/>
  <c r="I2" i="8"/>
  <c r="J2" i="8" s="1"/>
  <c r="K2" i="8" s="1"/>
  <c r="B3" i="3" l="1"/>
  <c r="E111" i="1" l="1"/>
  <c r="E112" i="1"/>
  <c r="E113" i="1"/>
  <c r="E91" i="1" l="1"/>
  <c r="E93" i="1"/>
  <c r="E95" i="1"/>
  <c r="E96" i="1"/>
  <c r="E97" i="1"/>
  <c r="E98" i="1"/>
  <c r="E99" i="1"/>
  <c r="E102" i="1"/>
  <c r="E61" i="1"/>
  <c r="E84" i="1"/>
  <c r="E34" i="1"/>
  <c r="E45" i="1"/>
  <c r="E46" i="1"/>
  <c r="E47" i="1"/>
  <c r="E20" i="1"/>
  <c r="E11" i="1"/>
  <c r="D6" i="1"/>
  <c r="E9" i="2"/>
  <c r="E21" i="2"/>
  <c r="E33" i="2"/>
  <c r="E46" i="2"/>
  <c r="E82" i="2"/>
  <c r="F101" i="1" l="1"/>
  <c r="F96" i="1"/>
  <c r="F102" i="1" s="1"/>
  <c r="F89" i="1"/>
  <c r="F21" i="1"/>
  <c r="F6" i="1"/>
  <c r="F22" i="1" l="1"/>
  <c r="C52" i="2"/>
  <c r="D52" i="2" s="1"/>
  <c r="F69" i="2"/>
  <c r="C69" i="2" s="1"/>
  <c r="F58" i="2"/>
  <c r="F51" i="2"/>
  <c r="C51" i="2" s="1"/>
  <c r="D51" i="2" l="1"/>
  <c r="C56" i="1"/>
  <c r="E56" i="1" s="1"/>
  <c r="E5" i="4"/>
  <c r="D5" i="4"/>
  <c r="B56" i="3"/>
  <c r="B84" i="3"/>
  <c r="B70" i="3" l="1"/>
  <c r="I20" i="16" l="1"/>
  <c r="I23" i="16"/>
  <c r="K23" i="16" s="1"/>
  <c r="F20" i="16"/>
  <c r="F23" i="16"/>
  <c r="E20" i="16"/>
  <c r="E23" i="16"/>
  <c r="I26" i="16"/>
  <c r="K26" i="16" s="1"/>
  <c r="F26" i="16"/>
  <c r="E26" i="16"/>
  <c r="I18" i="16"/>
  <c r="F18" i="16"/>
  <c r="E18" i="16"/>
  <c r="I16" i="16"/>
  <c r="F16" i="16"/>
  <c r="E16" i="16"/>
  <c r="I14" i="16"/>
  <c r="F14" i="16"/>
  <c r="E14" i="16"/>
  <c r="I11" i="16"/>
  <c r="F11" i="16"/>
  <c r="E11" i="16"/>
  <c r="I8" i="16"/>
  <c r="I5" i="16"/>
  <c r="I2" i="16"/>
  <c r="F5" i="16"/>
  <c r="E5" i="16"/>
  <c r="F3" i="16"/>
  <c r="E3" i="16"/>
  <c r="F2" i="16"/>
  <c r="E2" i="16"/>
  <c r="F49" i="5" l="1"/>
  <c r="E11" i="4"/>
  <c r="D9" i="4" l="1"/>
  <c r="H9" i="4" s="1"/>
  <c r="D40" i="4"/>
  <c r="H40" i="4" s="1"/>
  <c r="B36" i="5"/>
  <c r="C29" i="4"/>
  <c r="C28" i="4"/>
  <c r="E29" i="4"/>
  <c r="E28" i="4"/>
  <c r="B29" i="4"/>
  <c r="B28" i="4"/>
  <c r="D39" i="4" l="1"/>
  <c r="H39" i="4" s="1"/>
  <c r="B11" i="3" l="1"/>
  <c r="D52" i="12"/>
  <c r="C21" i="6"/>
  <c r="E21" i="6"/>
  <c r="K36" i="6"/>
  <c r="C17" i="6" s="1"/>
  <c r="K37" i="6"/>
  <c r="C18" i="6" s="1"/>
  <c r="K38" i="6"/>
  <c r="F19" i="6" s="1"/>
  <c r="D35" i="6"/>
  <c r="F35" i="6"/>
  <c r="E35" i="6"/>
  <c r="C35" i="6"/>
  <c r="B35" i="6"/>
  <c r="B21" i="6"/>
  <c r="E19" i="6" l="1"/>
  <c r="K35" i="6"/>
  <c r="D20" i="6" s="1"/>
  <c r="E18" i="6"/>
  <c r="B17" i="6"/>
  <c r="D18" i="6"/>
  <c r="C19" i="6"/>
  <c r="D19" i="6"/>
  <c r="F17" i="6"/>
  <c r="E17" i="6"/>
  <c r="B19" i="6"/>
  <c r="D17" i="6"/>
  <c r="B18" i="6"/>
  <c r="F18" i="6"/>
  <c r="J21" i="12"/>
  <c r="J20" i="12"/>
  <c r="B17" i="12"/>
  <c r="B16" i="12"/>
  <c r="K30" i="12" s="1"/>
  <c r="E37" i="12"/>
  <c r="B37" i="12"/>
  <c r="C20" i="6" l="1"/>
  <c r="B20" i="6"/>
  <c r="E20" i="6"/>
  <c r="F20" i="6"/>
  <c r="F44" i="4"/>
  <c r="H44" i="4" s="1"/>
  <c r="F42" i="4"/>
  <c r="H42" i="4" s="1"/>
  <c r="F43" i="4"/>
  <c r="H43" i="4" s="1"/>
  <c r="F41" i="4"/>
  <c r="H41" i="4" s="1"/>
  <c r="I83" i="9" l="1"/>
  <c r="J83" i="9" s="1"/>
  <c r="I97" i="9"/>
  <c r="C29" i="6"/>
  <c r="D29" i="6"/>
  <c r="F29" i="6"/>
  <c r="G29" i="6"/>
  <c r="H29" i="6"/>
  <c r="I29" i="6"/>
  <c r="J29" i="6"/>
  <c r="F19" i="2"/>
  <c r="C19" i="2" s="1"/>
  <c r="C18" i="1" s="1"/>
  <c r="E18" i="1" s="1"/>
  <c r="B77" i="8" l="1"/>
  <c r="B69" i="8"/>
  <c r="B64" i="8"/>
  <c r="B52" i="8"/>
  <c r="F57" i="2" l="1"/>
  <c r="F50" i="1" l="1"/>
  <c r="F33" i="1"/>
  <c r="F90" i="1" l="1"/>
  <c r="D21" i="1"/>
  <c r="F54" i="2"/>
  <c r="C54" i="2" s="1"/>
  <c r="C95" i="2"/>
  <c r="C59" i="1" l="1"/>
  <c r="E59" i="1" s="1"/>
  <c r="D54" i="2"/>
  <c r="G13" i="2" l="1"/>
  <c r="G9" i="2"/>
  <c r="I9" i="2"/>
  <c r="J9" i="2"/>
  <c r="K9" i="2"/>
  <c r="L9" i="2"/>
  <c r="B21" i="12" l="1"/>
  <c r="B24" i="12" l="1"/>
  <c r="K35" i="12"/>
  <c r="K36" i="12" s="1"/>
  <c r="F48" i="4"/>
  <c r="G48" i="4"/>
  <c r="F48" i="2" l="1"/>
  <c r="F64" i="2" l="1"/>
  <c r="B51" i="3"/>
  <c r="G17" i="12"/>
  <c r="G20" i="12"/>
  <c r="G16" i="12"/>
  <c r="F24" i="12"/>
  <c r="G21" i="12"/>
  <c r="E17" i="12"/>
  <c r="E16" i="12"/>
  <c r="E21" i="12" l="1"/>
  <c r="H21" i="12" s="1"/>
  <c r="E20" i="12"/>
  <c r="K20" i="12"/>
  <c r="H17" i="12"/>
  <c r="H16" i="12"/>
  <c r="H24" i="12" s="1"/>
  <c r="G24" i="12"/>
  <c r="B28" i="3" s="1"/>
  <c r="K21" i="12"/>
  <c r="E24" i="12" l="1"/>
  <c r="D28" i="3" s="1"/>
  <c r="H20" i="12"/>
  <c r="C72" i="5"/>
  <c r="B72" i="5"/>
  <c r="B60" i="5"/>
  <c r="C47" i="5"/>
  <c r="F47" i="5"/>
  <c r="G47" i="5"/>
  <c r="D47" i="5"/>
  <c r="E47" i="5"/>
  <c r="B47" i="5"/>
  <c r="B33" i="5"/>
  <c r="C18" i="5"/>
  <c r="D18" i="5"/>
  <c r="E18" i="5"/>
  <c r="B18" i="5"/>
  <c r="C4" i="5"/>
  <c r="D4" i="5"/>
  <c r="E4" i="5"/>
  <c r="F4" i="5"/>
  <c r="B4" i="5"/>
  <c r="C70" i="2"/>
  <c r="D70" i="2" s="1"/>
  <c r="B9" i="3" l="1"/>
  <c r="F10" i="2" s="1"/>
  <c r="L24" i="12"/>
  <c r="F20" i="2"/>
  <c r="C20" i="2" s="1"/>
  <c r="D20" i="2" l="1"/>
  <c r="C19" i="1"/>
  <c r="E19" i="1" s="1"/>
  <c r="D16" i="4"/>
  <c r="D50" i="4"/>
  <c r="F50" i="4"/>
  <c r="F16" i="4"/>
  <c r="E50" i="4"/>
  <c r="E16" i="4"/>
  <c r="C9" i="5"/>
  <c r="D9" i="5"/>
  <c r="E9" i="5"/>
  <c r="B9" i="5"/>
  <c r="B71" i="3"/>
  <c r="G16" i="4" l="1"/>
  <c r="C48" i="4"/>
  <c r="B48" i="4"/>
  <c r="F5" i="5"/>
  <c r="K26" i="6"/>
  <c r="K27" i="6"/>
  <c r="B29" i="6"/>
  <c r="K20" i="6"/>
  <c r="K19" i="6"/>
  <c r="G36" i="4"/>
  <c r="F36" i="4"/>
  <c r="B38" i="8" s="1"/>
  <c r="D36" i="4"/>
  <c r="K25" i="6"/>
  <c r="K23" i="6"/>
  <c r="K22" i="6"/>
  <c r="K17" i="6"/>
  <c r="K16" i="6"/>
  <c r="E29" i="6" l="1"/>
  <c r="E36" i="4" s="1"/>
  <c r="K21" i="6"/>
  <c r="C36" i="4"/>
  <c r="B36" i="4"/>
  <c r="K18" i="6"/>
  <c r="G11" i="4"/>
  <c r="G5" i="4"/>
  <c r="G4" i="4"/>
  <c r="G33" i="4"/>
  <c r="G32" i="4"/>
  <c r="G31" i="4"/>
  <c r="G30" i="4"/>
  <c r="H36" i="4" l="1"/>
  <c r="K30" i="6" s="1"/>
  <c r="K29" i="6"/>
  <c r="K31" i="6" l="1"/>
  <c r="E7" i="4" l="1"/>
  <c r="B45" i="8" l="1"/>
  <c r="F63" i="2"/>
  <c r="B16" i="4" l="1"/>
  <c r="B50" i="4"/>
  <c r="D33" i="1" l="1"/>
  <c r="F92" i="1"/>
  <c r="F103" i="1" s="1"/>
  <c r="B47" i="8"/>
  <c r="B49" i="8" s="1"/>
  <c r="B78" i="8" s="1"/>
  <c r="I34" i="13"/>
  <c r="I33" i="13"/>
  <c r="I32" i="13"/>
  <c r="H19" i="13"/>
  <c r="J18" i="13"/>
  <c r="J19" i="13" s="1"/>
  <c r="F14" i="13"/>
  <c r="F15" i="13" s="1"/>
  <c r="H13" i="13"/>
  <c r="H9" i="13"/>
  <c r="F9" i="13"/>
  <c r="D9" i="13"/>
  <c r="I6" i="13"/>
  <c r="I4" i="13"/>
  <c r="D2" i="13"/>
  <c r="I2" i="13" s="1"/>
  <c r="J12" i="6"/>
  <c r="I12" i="6"/>
  <c r="H12" i="6"/>
  <c r="G12" i="6"/>
  <c r="F12" i="6"/>
  <c r="E12" i="6"/>
  <c r="D12" i="6"/>
  <c r="C12" i="6"/>
  <c r="B12" i="6"/>
  <c r="K11" i="6"/>
  <c r="K10" i="6"/>
  <c r="K9" i="6"/>
  <c r="K7" i="6"/>
  <c r="K6" i="6"/>
  <c r="K5" i="6"/>
  <c r="K4" i="6"/>
  <c r="K3" i="6"/>
  <c r="H13" i="10"/>
  <c r="G13" i="10"/>
  <c r="F17" i="2" s="1"/>
  <c r="L17" i="2" s="1"/>
  <c r="F13" i="10"/>
  <c r="L74" i="2" s="1"/>
  <c r="L82" i="2" s="1"/>
  <c r="E13" i="10"/>
  <c r="D13" i="10"/>
  <c r="H117" i="9"/>
  <c r="H116" i="9"/>
  <c r="H114" i="9"/>
  <c r="H113" i="9"/>
  <c r="H112" i="9"/>
  <c r="H111" i="9"/>
  <c r="H109" i="9"/>
  <c r="H108" i="9"/>
  <c r="H106" i="9"/>
  <c r="H105" i="9"/>
  <c r="H104" i="9"/>
  <c r="H103" i="9"/>
  <c r="H97" i="9"/>
  <c r="G92" i="9"/>
  <c r="C90" i="9" s="1"/>
  <c r="G88" i="9"/>
  <c r="G83" i="9"/>
  <c r="H79" i="9" s="1"/>
  <c r="H62" i="9"/>
  <c r="H61" i="9"/>
  <c r="H60" i="9"/>
  <c r="H59" i="9"/>
  <c r="H58" i="9"/>
  <c r="H57" i="9"/>
  <c r="N37" i="9"/>
  <c r="N36" i="9"/>
  <c r="N35" i="9"/>
  <c r="N34" i="9"/>
  <c r="N33" i="9"/>
  <c r="N32" i="9"/>
  <c r="N30" i="9"/>
  <c r="N29" i="9"/>
  <c r="N28" i="9"/>
  <c r="N27" i="9"/>
  <c r="L25" i="9"/>
  <c r="H25" i="9"/>
  <c r="L24" i="9"/>
  <c r="H24" i="9"/>
  <c r="L23" i="9"/>
  <c r="H23" i="9"/>
  <c r="L22" i="9"/>
  <c r="H22" i="9"/>
  <c r="H21" i="9"/>
  <c r="H20" i="9"/>
  <c r="H19" i="9"/>
  <c r="H18" i="9"/>
  <c r="L17" i="9"/>
  <c r="H17" i="9"/>
  <c r="H16" i="9"/>
  <c r="H15" i="9"/>
  <c r="L14" i="9"/>
  <c r="H14" i="9"/>
  <c r="L13" i="9"/>
  <c r="H13" i="9"/>
  <c r="L10" i="9"/>
  <c r="D6" i="9"/>
  <c r="L6" i="9" s="1"/>
  <c r="D5" i="9"/>
  <c r="D2" i="9"/>
  <c r="E46" i="4"/>
  <c r="H46" i="4" s="1"/>
  <c r="E45" i="4"/>
  <c r="H45" i="4" s="1"/>
  <c r="E35" i="4"/>
  <c r="D35" i="4"/>
  <c r="C35" i="4"/>
  <c r="B35" i="4"/>
  <c r="E34" i="4"/>
  <c r="D34" i="4"/>
  <c r="C34" i="4"/>
  <c r="B34" i="4"/>
  <c r="F33" i="4"/>
  <c r="E33" i="4"/>
  <c r="D33" i="4"/>
  <c r="B33" i="4"/>
  <c r="F32" i="4"/>
  <c r="E32" i="4"/>
  <c r="D32" i="4"/>
  <c r="B32" i="4"/>
  <c r="E31" i="4"/>
  <c r="D31" i="4"/>
  <c r="B31" i="4"/>
  <c r="E30" i="4"/>
  <c r="D30" i="4"/>
  <c r="B30" i="4"/>
  <c r="G27" i="4"/>
  <c r="E27" i="4"/>
  <c r="C27" i="4"/>
  <c r="B27" i="4"/>
  <c r="C26" i="4"/>
  <c r="B26" i="4"/>
  <c r="C25" i="4"/>
  <c r="B25" i="4"/>
  <c r="C24" i="4"/>
  <c r="B24" i="4"/>
  <c r="D22" i="4"/>
  <c r="B22" i="4"/>
  <c r="F11" i="4"/>
  <c r="C10" i="4"/>
  <c r="B10" i="4"/>
  <c r="B8" i="4"/>
  <c r="D7" i="4"/>
  <c r="B7" i="4"/>
  <c r="D6" i="4"/>
  <c r="B6" i="4"/>
  <c r="G52" i="4"/>
  <c r="F5" i="4"/>
  <c r="F52" i="4" s="1"/>
  <c r="E52" i="4"/>
  <c r="D52" i="4"/>
  <c r="B5" i="4"/>
  <c r="B52" i="4" s="1"/>
  <c r="G23" i="4"/>
  <c r="F4" i="4"/>
  <c r="E4" i="4"/>
  <c r="D4" i="4"/>
  <c r="B4" i="4"/>
  <c r="C73" i="5"/>
  <c r="B73" i="5"/>
  <c r="C71" i="5"/>
  <c r="B71" i="5"/>
  <c r="B61" i="5"/>
  <c r="B59" i="5"/>
  <c r="E49" i="5"/>
  <c r="D49" i="5"/>
  <c r="G49" i="5"/>
  <c r="E48" i="5"/>
  <c r="D48" i="5"/>
  <c r="C48" i="5"/>
  <c r="B48" i="5"/>
  <c r="E46" i="5"/>
  <c r="D46" i="5"/>
  <c r="G46" i="5"/>
  <c r="F46" i="5"/>
  <c r="C46" i="5"/>
  <c r="B46" i="5"/>
  <c r="B35" i="5"/>
  <c r="B34" i="5"/>
  <c r="B32" i="5"/>
  <c r="E21" i="5"/>
  <c r="D21" i="5"/>
  <c r="C21" i="5"/>
  <c r="B21" i="5"/>
  <c r="E20" i="5"/>
  <c r="D20" i="5"/>
  <c r="C20" i="5"/>
  <c r="B20" i="5"/>
  <c r="E19" i="5"/>
  <c r="D19" i="5"/>
  <c r="C19" i="5"/>
  <c r="B19" i="5"/>
  <c r="E17" i="5"/>
  <c r="D17" i="5"/>
  <c r="C17" i="5"/>
  <c r="B17" i="5"/>
  <c r="F7" i="5"/>
  <c r="E6" i="5"/>
  <c r="D6" i="5"/>
  <c r="C6" i="5"/>
  <c r="B6" i="5"/>
  <c r="E5" i="5"/>
  <c r="D5" i="5"/>
  <c r="C5" i="5"/>
  <c r="B5" i="5"/>
  <c r="F3" i="5"/>
  <c r="E3" i="5"/>
  <c r="D3" i="5"/>
  <c r="C3" i="5"/>
  <c r="B3" i="5"/>
  <c r="B6" i="7"/>
  <c r="D99" i="3"/>
  <c r="C99" i="3"/>
  <c r="B99" i="3"/>
  <c r="E99" i="3"/>
  <c r="F97" i="3"/>
  <c r="F96" i="3"/>
  <c r="F95" i="3"/>
  <c r="F94" i="3"/>
  <c r="F93" i="3"/>
  <c r="B49" i="3"/>
  <c r="F47" i="2"/>
  <c r="C47" i="2" s="1"/>
  <c r="B59" i="3"/>
  <c r="F31" i="2" s="1"/>
  <c r="F29" i="2"/>
  <c r="C29" i="2" s="1"/>
  <c r="D29" i="2" s="1"/>
  <c r="E41" i="3"/>
  <c r="D41" i="3"/>
  <c r="F68" i="2" s="1"/>
  <c r="C41" i="3"/>
  <c r="B41" i="3"/>
  <c r="F13" i="2"/>
  <c r="C97" i="2"/>
  <c r="D95" i="2"/>
  <c r="C93" i="2"/>
  <c r="D93" i="2" s="1"/>
  <c r="C88" i="2"/>
  <c r="D88" i="2" s="1"/>
  <c r="C87" i="2"/>
  <c r="C86" i="2"/>
  <c r="F80" i="2"/>
  <c r="C80" i="2" s="1"/>
  <c r="C79" i="2"/>
  <c r="D79" i="2" s="1"/>
  <c r="F78" i="2"/>
  <c r="C78" i="2" s="1"/>
  <c r="C77" i="2"/>
  <c r="D77" i="2" s="1"/>
  <c r="F76" i="2"/>
  <c r="C76" i="2" s="1"/>
  <c r="C75" i="2"/>
  <c r="D75" i="2" s="1"/>
  <c r="F73" i="2"/>
  <c r="C73" i="2" s="1"/>
  <c r="C72" i="2"/>
  <c r="C78" i="1" s="1"/>
  <c r="E78" i="1" s="1"/>
  <c r="C66" i="2"/>
  <c r="D66" i="2" s="1"/>
  <c r="F65" i="2"/>
  <c r="C65" i="2" s="1"/>
  <c r="D65" i="2" s="1"/>
  <c r="C64" i="2"/>
  <c r="C63" i="2"/>
  <c r="F62" i="2"/>
  <c r="C62" i="2" s="1"/>
  <c r="D62" i="2" s="1"/>
  <c r="F61" i="2"/>
  <c r="C59" i="2"/>
  <c r="D59" i="2" s="1"/>
  <c r="C58" i="2"/>
  <c r="C57" i="2"/>
  <c r="D57" i="2" s="1"/>
  <c r="F56" i="2"/>
  <c r="C56" i="2" s="1"/>
  <c r="D56" i="2" s="1"/>
  <c r="C55" i="2"/>
  <c r="D55" i="2" s="1"/>
  <c r="F53" i="2"/>
  <c r="C53" i="2" s="1"/>
  <c r="D53" i="2" s="1"/>
  <c r="F50" i="2"/>
  <c r="C50" i="2" s="1"/>
  <c r="D50" i="2" s="1"/>
  <c r="C49" i="2"/>
  <c r="D49" i="2" s="1"/>
  <c r="J46" i="2"/>
  <c r="H46" i="2"/>
  <c r="C45" i="2"/>
  <c r="F44" i="2"/>
  <c r="C44" i="2" s="1"/>
  <c r="C48" i="1" s="1"/>
  <c r="C39" i="2"/>
  <c r="C38" i="2"/>
  <c r="L46" i="2"/>
  <c r="K33" i="2"/>
  <c r="K83" i="2" s="1"/>
  <c r="J33" i="2"/>
  <c r="I33" i="2"/>
  <c r="I83" i="2" s="1"/>
  <c r="G33" i="2"/>
  <c r="G83" i="2" s="1"/>
  <c r="L32" i="2"/>
  <c r="C32" i="2" s="1"/>
  <c r="F30" i="2"/>
  <c r="C30" i="2" s="1"/>
  <c r="C30" i="1" s="1"/>
  <c r="E30" i="1" s="1"/>
  <c r="K21" i="2"/>
  <c r="K22" i="2" s="1"/>
  <c r="J21" i="2"/>
  <c r="I21" i="2"/>
  <c r="I22" i="2" s="1"/>
  <c r="G21" i="2"/>
  <c r="G22" i="2" s="1"/>
  <c r="F18" i="2"/>
  <c r="C18" i="2" s="1"/>
  <c r="C17" i="1" s="1"/>
  <c r="E17" i="1" s="1"/>
  <c r="F16" i="2"/>
  <c r="C16" i="2" s="1"/>
  <c r="F11" i="2"/>
  <c r="C11" i="2" s="1"/>
  <c r="D11" i="2" s="1"/>
  <c r="F4" i="2"/>
  <c r="D3" i="2"/>
  <c r="F114" i="1"/>
  <c r="D114" i="1"/>
  <c r="A49" i="1"/>
  <c r="A48" i="1"/>
  <c r="A43" i="1"/>
  <c r="A42" i="1"/>
  <c r="A41" i="1"/>
  <c r="A40" i="1"/>
  <c r="A39" i="1"/>
  <c r="A38" i="1"/>
  <c r="A36" i="1"/>
  <c r="A35" i="1"/>
  <c r="A32" i="1"/>
  <c r="A31" i="1"/>
  <c r="A30" i="1"/>
  <c r="A29" i="1"/>
  <c r="A28" i="1"/>
  <c r="A27" i="1"/>
  <c r="A26" i="1"/>
  <c r="A25" i="1"/>
  <c r="C109" i="1"/>
  <c r="E109" i="1" s="1"/>
  <c r="E90" i="9"/>
  <c r="D48" i="4"/>
  <c r="H90" i="9"/>
  <c r="F67" i="2" l="1"/>
  <c r="D35" i="2"/>
  <c r="C36" i="1"/>
  <c r="D38" i="2"/>
  <c r="C40" i="1"/>
  <c r="C41" i="1"/>
  <c r="E41" i="1" s="1"/>
  <c r="D45" i="2"/>
  <c r="C49" i="1"/>
  <c r="E49" i="1" s="1"/>
  <c r="C35" i="1"/>
  <c r="C68" i="2"/>
  <c r="C74" i="1" s="1"/>
  <c r="E74" i="1" s="1"/>
  <c r="C17" i="2"/>
  <c r="C16" i="1" s="1"/>
  <c r="E16" i="1" s="1"/>
  <c r="D86" i="2"/>
  <c r="C96" i="2"/>
  <c r="C110" i="1" s="1"/>
  <c r="E110" i="1" s="1"/>
  <c r="F5" i="2"/>
  <c r="D87" i="2"/>
  <c r="C100" i="1"/>
  <c r="E100" i="1" s="1"/>
  <c r="C60" i="2"/>
  <c r="D60" i="2" s="1"/>
  <c r="C27" i="2"/>
  <c r="C27" i="1" s="1"/>
  <c r="E27" i="1" s="1"/>
  <c r="C94" i="1"/>
  <c r="E94" i="1" s="1"/>
  <c r="C60" i="1"/>
  <c r="E60" i="1" s="1"/>
  <c r="C83" i="1"/>
  <c r="E83" i="1" s="1"/>
  <c r="C72" i="1"/>
  <c r="E72" i="1" s="1"/>
  <c r="E36" i="1"/>
  <c r="F115" i="1"/>
  <c r="C54" i="1"/>
  <c r="E54" i="1" s="1"/>
  <c r="L21" i="2"/>
  <c r="L22" i="2" s="1"/>
  <c r="J22" i="2"/>
  <c r="F84" i="9"/>
  <c r="C16" i="4"/>
  <c r="C50" i="4"/>
  <c r="H84" i="9"/>
  <c r="D22" i="1"/>
  <c r="I84" i="2"/>
  <c r="G84" i="2"/>
  <c r="K84" i="2"/>
  <c r="F81" i="2"/>
  <c r="C81" i="2" s="1"/>
  <c r="F41" i="3"/>
  <c r="B103" i="3" s="1"/>
  <c r="E40" i="1"/>
  <c r="C76" i="1"/>
  <c r="E76" i="1" s="1"/>
  <c r="D72" i="2"/>
  <c r="C86" i="1"/>
  <c r="E86" i="1" s="1"/>
  <c r="L33" i="2"/>
  <c r="L83" i="2" s="1"/>
  <c r="E23" i="4"/>
  <c r="D39" i="2"/>
  <c r="F23" i="4"/>
  <c r="F51" i="4" s="1"/>
  <c r="F53" i="4" s="1"/>
  <c r="C84" i="9"/>
  <c r="I9" i="13"/>
  <c r="D23" i="4"/>
  <c r="D51" i="4" s="1"/>
  <c r="D53" i="4" s="1"/>
  <c r="C57" i="1"/>
  <c r="E57" i="1" s="1"/>
  <c r="D34" i="2"/>
  <c r="B23" i="4"/>
  <c r="O30" i="9"/>
  <c r="B130" i="8"/>
  <c r="B131" i="8" s="1"/>
  <c r="H12" i="4"/>
  <c r="H47" i="4"/>
  <c r="H49" i="4"/>
  <c r="H15" i="4"/>
  <c r="B25" i="5"/>
  <c r="B28" i="5" s="1"/>
  <c r="D25" i="5"/>
  <c r="D28" i="5" s="1"/>
  <c r="H8" i="4"/>
  <c r="C74" i="2"/>
  <c r="C89" i="2"/>
  <c r="C5" i="4"/>
  <c r="C52" i="4" s="1"/>
  <c r="H52" i="4" s="1"/>
  <c r="C7" i="4"/>
  <c r="H7" i="4" s="1"/>
  <c r="C22" i="4"/>
  <c r="H22" i="4" s="1"/>
  <c r="C31" i="4"/>
  <c r="H31" i="4" s="1"/>
  <c r="C32" i="4"/>
  <c r="H32" i="4" s="1"/>
  <c r="C37" i="4"/>
  <c r="H37" i="4" s="1"/>
  <c r="K12" i="6"/>
  <c r="J67" i="2" s="1"/>
  <c r="C65" i="1"/>
  <c r="E65" i="1" s="1"/>
  <c r="C81" i="1"/>
  <c r="E81" i="1" s="1"/>
  <c r="F11" i="5"/>
  <c r="F13" i="5" s="1"/>
  <c r="I8" i="5" s="1"/>
  <c r="B53" i="5"/>
  <c r="B55" i="5" s="1"/>
  <c r="I22" i="5" s="1"/>
  <c r="D53" i="5"/>
  <c r="K8" i="6"/>
  <c r="B40" i="5"/>
  <c r="I19" i="5" s="1"/>
  <c r="J19" i="5" s="1"/>
  <c r="B73" i="3"/>
  <c r="F41" i="2" s="1"/>
  <c r="C41" i="2" s="1"/>
  <c r="F34" i="2"/>
  <c r="F37" i="2"/>
  <c r="C37" i="2" s="1"/>
  <c r="C29" i="1"/>
  <c r="E29" i="1" s="1"/>
  <c r="F98" i="3"/>
  <c r="B11" i="5"/>
  <c r="D11" i="5"/>
  <c r="I6" i="5" s="1"/>
  <c r="J6" i="5" s="1"/>
  <c r="C25" i="5"/>
  <c r="C28" i="5" s="1"/>
  <c r="B65" i="5"/>
  <c r="B67" i="5" s="1"/>
  <c r="N31" i="5" s="1"/>
  <c r="C4" i="4"/>
  <c r="C6" i="4"/>
  <c r="H6" i="4" s="1"/>
  <c r="H4" i="2" s="1"/>
  <c r="C11" i="4"/>
  <c r="H11" i="4" s="1"/>
  <c r="C30" i="4"/>
  <c r="H30" i="4" s="1"/>
  <c r="C33" i="4"/>
  <c r="H33" i="4" s="1"/>
  <c r="C38" i="4"/>
  <c r="H38" i="4" s="1"/>
  <c r="H24" i="4"/>
  <c r="H26" i="4"/>
  <c r="H28" i="4"/>
  <c r="H27" i="4"/>
  <c r="C11" i="5"/>
  <c r="G53" i="5"/>
  <c r="E53" i="5"/>
  <c r="F53" i="5"/>
  <c r="E25" i="5"/>
  <c r="E28" i="5" s="1"/>
  <c r="H13" i="4"/>
  <c r="B76" i="5"/>
  <c r="C76" i="5"/>
  <c r="E11" i="5"/>
  <c r="C53" i="5"/>
  <c r="H10" i="4"/>
  <c r="H10" i="2" s="1"/>
  <c r="H25" i="4"/>
  <c r="H35" i="4"/>
  <c r="H29" i="4"/>
  <c r="G51" i="4"/>
  <c r="G53" i="4" s="1"/>
  <c r="H34" i="4"/>
  <c r="D76" i="2"/>
  <c r="C82" i="1"/>
  <c r="E82" i="1" s="1"/>
  <c r="C79" i="1"/>
  <c r="E79" i="1" s="1"/>
  <c r="D73" i="2"/>
  <c r="D16" i="2"/>
  <c r="C15" i="1"/>
  <c r="E15" i="1" s="1"/>
  <c r="D58" i="2"/>
  <c r="C64" i="1"/>
  <c r="E64" i="1" s="1"/>
  <c r="C55" i="1"/>
  <c r="E55" i="1" s="1"/>
  <c r="F28" i="2"/>
  <c r="D17" i="2"/>
  <c r="C69" i="1"/>
  <c r="E69" i="1" s="1"/>
  <c r="D63" i="2"/>
  <c r="D44" i="2"/>
  <c r="E48" i="1"/>
  <c r="C58" i="1"/>
  <c r="E58" i="1" s="1"/>
  <c r="D64" i="2"/>
  <c r="C70" i="1"/>
  <c r="E70" i="1" s="1"/>
  <c r="D80" i="2"/>
  <c r="C87" i="1"/>
  <c r="E87" i="1" s="1"/>
  <c r="D32" i="2"/>
  <c r="C32" i="1"/>
  <c r="E32" i="1" s="1"/>
  <c r="C63" i="1"/>
  <c r="E63" i="1" s="1"/>
  <c r="C85" i="1"/>
  <c r="E85" i="1" s="1"/>
  <c r="D78" i="2"/>
  <c r="D47" i="2"/>
  <c r="C52" i="1"/>
  <c r="E52" i="1" s="1"/>
  <c r="D30" i="2"/>
  <c r="C9" i="1"/>
  <c r="E9" i="1" s="1"/>
  <c r="C62" i="1"/>
  <c r="E62" i="1" s="1"/>
  <c r="C71" i="1"/>
  <c r="E71" i="1" s="1"/>
  <c r="C68" i="1"/>
  <c r="E68" i="1" s="1"/>
  <c r="E48" i="4"/>
  <c r="C31" i="2"/>
  <c r="D31" i="2" s="1"/>
  <c r="D18" i="2"/>
  <c r="E35" i="1" l="1"/>
  <c r="D36" i="2"/>
  <c r="C38" i="1"/>
  <c r="E38" i="1" s="1"/>
  <c r="C43" i="1"/>
  <c r="E43" i="1" s="1"/>
  <c r="D37" i="2"/>
  <c r="C39" i="1"/>
  <c r="E39" i="1" s="1"/>
  <c r="I24" i="5"/>
  <c r="F55" i="5"/>
  <c r="I26" i="5" s="1"/>
  <c r="I25" i="5"/>
  <c r="I23" i="5"/>
  <c r="I13" i="5"/>
  <c r="J13" i="5" s="1"/>
  <c r="I16" i="5"/>
  <c r="J16" i="5" s="1"/>
  <c r="I14" i="5"/>
  <c r="J14" i="5" s="1"/>
  <c r="I15" i="5"/>
  <c r="J15" i="5" s="1"/>
  <c r="H61" i="2"/>
  <c r="C61" i="2" s="1"/>
  <c r="H48" i="2"/>
  <c r="C48" i="2" s="1"/>
  <c r="C53" i="1" s="1"/>
  <c r="E53" i="1" s="1"/>
  <c r="N26" i="5"/>
  <c r="I4" i="5"/>
  <c r="J4" i="5" s="1"/>
  <c r="I7" i="5"/>
  <c r="J7" i="5" s="1"/>
  <c r="I5" i="5"/>
  <c r="J5" i="5" s="1"/>
  <c r="D89" i="2"/>
  <c r="D81" i="2"/>
  <c r="C88" i="1"/>
  <c r="E88" i="1" s="1"/>
  <c r="C66" i="1"/>
  <c r="E66" i="1" s="1"/>
  <c r="D27" i="2"/>
  <c r="C101" i="1"/>
  <c r="E101" i="1" s="1"/>
  <c r="C10" i="2"/>
  <c r="C8" i="1" s="1"/>
  <c r="E8" i="1" s="1"/>
  <c r="C4" i="2"/>
  <c r="C3" i="1" s="1"/>
  <c r="E3" i="1" s="1"/>
  <c r="H9" i="2"/>
  <c r="F42" i="2"/>
  <c r="C42" i="2" s="1"/>
  <c r="B72" i="3"/>
  <c r="B90" i="3" s="1"/>
  <c r="E51" i="4"/>
  <c r="E53" i="4" s="1"/>
  <c r="C67" i="2"/>
  <c r="D67" i="2" s="1"/>
  <c r="L84" i="2"/>
  <c r="F82" i="2"/>
  <c r="B127" i="8"/>
  <c r="H50" i="4"/>
  <c r="H28" i="2" s="1"/>
  <c r="H16" i="4"/>
  <c r="H15" i="2" s="1"/>
  <c r="C15" i="2" s="1"/>
  <c r="C23" i="4"/>
  <c r="H23" i="4" s="1"/>
  <c r="D41" i="2"/>
  <c r="J82" i="2"/>
  <c r="J83" i="2" s="1"/>
  <c r="J84" i="2" s="1"/>
  <c r="C80" i="1"/>
  <c r="E80" i="1" s="1"/>
  <c r="D74" i="2"/>
  <c r="H4" i="4"/>
  <c r="H5" i="4"/>
  <c r="C78" i="5"/>
  <c r="N35" i="5" s="1"/>
  <c r="B78" i="5"/>
  <c r="N34" i="5" s="1"/>
  <c r="B51" i="4"/>
  <c r="B53" i="4" s="1"/>
  <c r="D68" i="2"/>
  <c r="C31" i="1"/>
  <c r="E31" i="1" s="1"/>
  <c r="F99" i="3"/>
  <c r="B106" i="3" s="1"/>
  <c r="H26" i="2"/>
  <c r="C26" i="2" s="1"/>
  <c r="C26" i="1" s="1"/>
  <c r="E26" i="1" s="1"/>
  <c r="H25" i="2"/>
  <c r="N27" i="5" l="1"/>
  <c r="I27" i="5"/>
  <c r="N8" i="5"/>
  <c r="D48" i="2"/>
  <c r="B5" i="3"/>
  <c r="F6" i="2" s="1"/>
  <c r="N19" i="5"/>
  <c r="N5" i="5"/>
  <c r="N23" i="5"/>
  <c r="N4" i="5"/>
  <c r="N7" i="5"/>
  <c r="N16" i="5"/>
  <c r="N25" i="5"/>
  <c r="N22" i="5"/>
  <c r="N24" i="5"/>
  <c r="N14" i="5"/>
  <c r="N13" i="5"/>
  <c r="N15" i="5"/>
  <c r="N6" i="5"/>
  <c r="B128" i="8"/>
  <c r="H14" i="4"/>
  <c r="D10" i="2"/>
  <c r="D42" i="2"/>
  <c r="E44" i="1"/>
  <c r="D4" i="2"/>
  <c r="D61" i="2"/>
  <c r="C14" i="1"/>
  <c r="E14" i="1" s="1"/>
  <c r="D15" i="2"/>
  <c r="B10" i="7"/>
  <c r="H12" i="2"/>
  <c r="C12" i="2" s="1"/>
  <c r="D12" i="2" s="1"/>
  <c r="C51" i="4"/>
  <c r="C53" i="4" s="1"/>
  <c r="H53" i="4" s="1"/>
  <c r="H48" i="4"/>
  <c r="H71" i="2" s="1"/>
  <c r="F40" i="2"/>
  <c r="B105" i="3"/>
  <c r="H33" i="2"/>
  <c r="D26" i="2"/>
  <c r="C67" i="1"/>
  <c r="E67" i="1" s="1"/>
  <c r="C28" i="2"/>
  <c r="C73" i="1"/>
  <c r="E73" i="1" s="1"/>
  <c r="C6" i="2" l="1"/>
  <c r="C5" i="1" s="1"/>
  <c r="E5" i="1" s="1"/>
  <c r="F9" i="2"/>
  <c r="B4" i="3"/>
  <c r="B20" i="3" s="1"/>
  <c r="G14" i="4"/>
  <c r="G17" i="4" s="1"/>
  <c r="G54" i="4" s="1"/>
  <c r="C14" i="4"/>
  <c r="C17" i="4" s="1"/>
  <c r="C54" i="4" s="1"/>
  <c r="E14" i="4"/>
  <c r="E17" i="4" s="1"/>
  <c r="E54" i="4" s="1"/>
  <c r="D14" i="4"/>
  <c r="D17" i="4" s="1"/>
  <c r="D54" i="4" s="1"/>
  <c r="B14" i="4"/>
  <c r="B17" i="4" s="1"/>
  <c r="B54" i="4" s="1"/>
  <c r="F14" i="4"/>
  <c r="F17" i="4" s="1"/>
  <c r="F54" i="4" s="1"/>
  <c r="C13" i="2"/>
  <c r="H14" i="2"/>
  <c r="H17" i="4"/>
  <c r="F25" i="2"/>
  <c r="B65" i="3"/>
  <c r="B104" i="3" s="1"/>
  <c r="B107" i="3" s="1"/>
  <c r="C92" i="2"/>
  <c r="C107" i="1" s="1"/>
  <c r="E107" i="1" s="1"/>
  <c r="C10" i="1"/>
  <c r="E10" i="1" s="1"/>
  <c r="H82" i="2"/>
  <c r="H83" i="2" s="1"/>
  <c r="C71" i="2"/>
  <c r="H51" i="4"/>
  <c r="C40" i="2"/>
  <c r="C42" i="1" s="1"/>
  <c r="C50" i="1" s="1"/>
  <c r="F46" i="2"/>
  <c r="D28" i="2"/>
  <c r="C28" i="1"/>
  <c r="E28" i="1" s="1"/>
  <c r="D6" i="2" l="1"/>
  <c r="F14" i="2"/>
  <c r="F21" i="2" s="1"/>
  <c r="F22" i="2" s="1"/>
  <c r="B109" i="3"/>
  <c r="H54" i="4"/>
  <c r="B17" i="7"/>
  <c r="D13" i="2"/>
  <c r="C12" i="1"/>
  <c r="E12" i="1" s="1"/>
  <c r="H21" i="2"/>
  <c r="H22" i="2" s="1"/>
  <c r="H84" i="2" s="1"/>
  <c r="C82" i="2"/>
  <c r="D82" i="2" s="1"/>
  <c r="D71" i="2"/>
  <c r="F33" i="2"/>
  <c r="F83" i="2" s="1"/>
  <c r="B108" i="3" s="1"/>
  <c r="C25" i="2"/>
  <c r="C77" i="1"/>
  <c r="E77" i="1" s="1"/>
  <c r="C5" i="2"/>
  <c r="D40" i="2"/>
  <c r="D46" i="2" s="1"/>
  <c r="E42" i="1"/>
  <c r="C46" i="2"/>
  <c r="C14" i="2" l="1"/>
  <c r="D14" i="2" s="1"/>
  <c r="D21" i="2" s="1"/>
  <c r="C94" i="2"/>
  <c r="C108" i="1" s="1"/>
  <c r="E108" i="1" s="1"/>
  <c r="E50" i="1"/>
  <c r="C89" i="1"/>
  <c r="E89" i="1" s="1"/>
  <c r="F84" i="2"/>
  <c r="D103" i="3"/>
  <c r="D5" i="2"/>
  <c r="D9" i="2" s="1"/>
  <c r="C9" i="2"/>
  <c r="C25" i="1"/>
  <c r="E25" i="1" s="1"/>
  <c r="D25" i="2"/>
  <c r="D33" i="2" s="1"/>
  <c r="C33" i="2"/>
  <c r="C83" i="2" s="1"/>
  <c r="D83" i="2" s="1"/>
  <c r="C4" i="1"/>
  <c r="E4" i="1" s="1"/>
  <c r="C13" i="1" l="1"/>
  <c r="E13" i="1" s="1"/>
  <c r="C21" i="2"/>
  <c r="C22" i="2" s="1"/>
  <c r="C114" i="1"/>
  <c r="E114" i="1" s="1"/>
  <c r="D94" i="2"/>
  <c r="D99" i="2" s="1"/>
  <c r="C99" i="2"/>
  <c r="D22" i="2"/>
  <c r="C33" i="1"/>
  <c r="E33" i="1" s="1"/>
  <c r="C6" i="1"/>
  <c r="E6" i="1" s="1"/>
  <c r="C21" i="1" l="1"/>
  <c r="E21" i="1" s="1"/>
  <c r="C90" i="1"/>
  <c r="C84" i="2"/>
  <c r="C22" i="1" l="1"/>
  <c r="E22" i="1" s="1"/>
  <c r="C90" i="2"/>
  <c r="C100" i="2" s="1"/>
  <c r="D84" i="2"/>
  <c r="D90" i="2" s="1"/>
  <c r="D100" i="2" s="1"/>
  <c r="C92" i="1" l="1"/>
  <c r="C103" i="1" s="1"/>
  <c r="C115" i="1" l="1"/>
  <c r="E115" i="1" s="1"/>
  <c r="D90" i="1"/>
  <c r="E90" i="1" s="1"/>
  <c r="D92" i="1" l="1"/>
  <c r="D103" i="1" l="1"/>
  <c r="E103" i="1" s="1"/>
  <c r="E9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Knut A. M. Berge</author>
  </authors>
  <commentList>
    <comment ref="A5" authorId="0" guid="{BEAEABD3-E8D1-4199-9313-1514C0FA87DE}" shapeId="0" xr:uid="{00000000-0006-0000-0000-000001000000}">
      <text>
        <r>
          <rPr>
            <b/>
            <sz val="9"/>
            <color indexed="81"/>
            <rFont val="Tahoma"/>
            <family val="2"/>
          </rPr>
          <t>Knut A. M. Berge:</t>
        </r>
        <r>
          <rPr>
            <sz val="9"/>
            <color indexed="81"/>
            <rFont val="Tahoma"/>
            <family val="2"/>
          </rPr>
          <t xml:space="preserve">
Synliggjøre nasjonal avgift, slik at det er lettere å forstå hvor cisv får inntektene sine fra.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Knut A. M. Berge</author>
    <author/>
  </authors>
  <commentList>
    <comment ref="A6" authorId="0" guid="{FD2CDD61-E142-462A-BE8B-2F3ED7B7BD2C}" shapeId="0" xr:uid="{00000000-0006-0000-0100-000001000000}">
      <text>
        <r>
          <rPr>
            <b/>
            <sz val="9"/>
            <color indexed="81"/>
            <rFont val="Tahoma"/>
            <family val="2"/>
          </rPr>
          <t>Knut A. M. Berge:</t>
        </r>
        <r>
          <rPr>
            <sz val="9"/>
            <color indexed="81"/>
            <rFont val="Tahoma"/>
            <family val="2"/>
          </rPr>
          <t xml:space="preserve">
Synliggjøre nasjonal avgift, slik at det er lettere å forstå hvor cisv får inntektene sine fra.</t>
        </r>
      </text>
    </comment>
    <comment ref="D9" authorId="1" guid="{B1B895E0-48C8-4EF8-9AAC-AB72B2BA7410}" shapeId="0" xr:uid="{00000000-0006-0000-0100-000002000000}">
      <text>
        <r>
          <rPr>
            <sz val="10"/>
            <color rgb="FF000000"/>
            <rFont val="Arial"/>
            <family val="2"/>
          </rPr>
          <t xml:space="preserve">Berge, Knut Audun Monen:
Har ikke solgt så mye i nettbutikk i 2016. 2015-tall er nok påvirket av global conferance
</t>
        </r>
      </text>
    </comment>
    <comment ref="D47" authorId="1" guid="{37577B23-7B60-4830-BE49-542F220E87DE}" shapeId="0" xr:uid="{00000000-0006-0000-0100-000006000000}">
      <text>
        <r>
          <rPr>
            <sz val="10"/>
            <color rgb="FF000000"/>
            <rFont val="Arial"/>
            <family val="2"/>
          </rPr>
          <t>Berge, Knut Audun Monen:
Husleie til cisv bergen for kompaz og kpi-justering</t>
        </r>
      </text>
    </comment>
    <comment ref="D48" authorId="1" guid="{8D555601-F0BB-4F1E-9E43-754FD1A5DFAE}" shapeId="0" xr:uid="{00000000-0006-0000-0100-000007000000}">
      <text>
        <r>
          <rPr>
            <sz val="10"/>
            <color rgb="FF000000"/>
            <rFont val="Arial"/>
            <family val="2"/>
          </rPr>
          <t>Berge, Knut Audun Monen:
Sikret rimeligere lokaler i 2017</t>
        </r>
      </text>
    </comment>
    <comment ref="D57" authorId="1" guid="{ABABB049-CF2D-4BF9-944B-F315D2A247F8}" shapeId="0" xr:uid="{00000000-0006-0000-0100-000008000000}">
      <text>
        <r>
          <rPr>
            <sz val="10"/>
            <color rgb="FF000000"/>
            <rFont val="Arial"/>
            <family val="2"/>
          </rPr>
          <t>Berge, Knut Audun Monen:
Her er det lagt inn høyeste kostnad ved innføring av medlemssystem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50" authorId="0" guid="{A986272B-925A-431B-A27F-C20A6552746B}" shapeId="0" xr:uid="{00000000-0006-0000-0200-000004000000}">
      <text>
        <r>
          <rPr>
            <sz val="10"/>
            <color rgb="FF000000"/>
            <rFont val="Arial"/>
            <family val="2"/>
          </rPr>
          <t>Berge, Knut Audun Monen:
Vi betaler for 20 chapters, ikke fylkeslag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F16" authorId="0" guid="{DCB46314-B170-4CBD-89FB-F3EB13A16E8B}" shapeId="0" xr:uid="{00000000-0006-0000-0300-000001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Ble ikke innført for 2017?
</t>
        </r>
      </text>
    </comment>
    <comment ref="C33" authorId="1" guid="{FF932EEC-3E2C-4C68-AD6F-063CE11E24D2}" shapeId="0" xr:uid="{00000000-0006-0000-0300-000004000000}">
      <text>
        <r>
          <rPr>
            <sz val="10"/>
            <color rgb="FF000000"/>
            <rFont val="Arial"/>
            <family val="2"/>
          </rPr>
          <t>Knut A. M. Berge:
Lagt til deltakelse fra stab step up leirer(fire i stab)</t>
        </r>
      </text>
    </comment>
    <comment ref="F43" authorId="0" guid="{EFA37EA6-8E0B-4962-9D3B-D9BB5F6E3D95}" shapeId="0" xr:uid="{00000000-0006-0000-0300-000005000000}">
      <text>
        <r>
          <rPr>
            <b/>
            <sz val="9"/>
            <color indexed="81"/>
            <rFont val="Tahoma"/>
            <family val="2"/>
          </rPr>
          <t>Berge, Knut Audun Monen:
Seminarleir annet hv ert år. Staben deltar på RTF. Budsjetterer med  50% hvert år for å dekke fire stabsmedlemmer hvert annet år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F5" authorId="0" guid="{FFB60C29-A499-41C2-9DD7-7F7EDB7B11F9}" shapeId="0" xr:uid="{00000000-0006-0000-0400-000001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Lavere pris for jc da de ikke skal finansiere leders effektpakke</t>
        </r>
      </text>
    </comment>
    <comment ref="A8" authorId="1" guid="{994C22E8-6DAE-4008-82D9-B3E8B1BC3855}" shapeId="0" xr:uid="{00000000-0006-0000-0400-000002000000}">
      <text>
        <r>
          <rPr>
            <sz val="10"/>
            <color rgb="FF000000"/>
            <rFont val="Arial"/>
            <family val="2"/>
          </rPr>
          <t xml:space="preserve">Knut:
Går inn til IO - kommer tilbake som leirstøtte. </t>
        </r>
      </text>
    </comment>
    <comment ref="B25" authorId="1" guid="{B4E96C77-8219-47B9-BED6-B9CA5A54B185}" shapeId="0" xr:uid="{00000000-0006-0000-0400-000003000000}">
      <text>
        <r>
          <rPr>
            <sz val="10"/>
            <color rgb="FF000000"/>
            <rFont val="Arial"/>
            <family val="2"/>
          </rPr>
          <t>Knut A. M. Berge:
Presenter på hvilken variabel prisen har endret seg og hvorfor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B25" authorId="0" guid="{72BFDBA4-150E-4938-8433-EDD137BBD704}" shapeId="0" xr:uid="{00000000-0006-0000-0500-000001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3% økning</t>
        </r>
      </text>
    </comment>
    <comment ref="B26" authorId="0" guid="{4A61A4B5-CF60-4E18-88C5-9D3FB9F8D3A6}" shapeId="0" xr:uid="{00000000-0006-0000-0500-000002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Utbetalinger i 2017</t>
        </r>
      </text>
    </comment>
    <comment ref="B27" authorId="0" guid="{1B574DE8-D0CC-44BE-9554-9466193086F3}" shapeId="0" xr:uid="{00000000-0006-0000-0500-000003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Beholdes på 600 og så blir kostnaden per effektpakke 480 kr. Skal dekke effektpakke for leder også slik at inntekten må være 25% over kostnaden som et minimum.</t>
        </r>
      </text>
    </comment>
    <comment ref="A35" authorId="0" guid="{96E96D76-C62B-4572-9B8F-DAC092A325FE}" shapeId="0" xr:uid="{00000000-0006-0000-0500-000004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LTS og NEO
2/3 av Seminarleirsdeltaker-avgift</t>
        </r>
      </text>
    </comment>
    <comment ref="A37" authorId="0" guid="{25F1B3F2-8FD7-4B5B-B67D-A89E3CB27A83}" shapeId="0" xr:uid="{00000000-0006-0000-0500-000005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LTS og NEO
2/3 av Seminarleirsdeltaker-avgift</t>
        </r>
      </text>
    </comment>
    <comment ref="A103" authorId="1" guid="{E6BFB9AF-1DE0-4791-BDF6-9A8CDA4F9E54}" shapeId="0" xr:uid="{00000000-0006-0000-0500-000006000000}">
      <text>
        <r>
          <rPr>
            <sz val="10"/>
            <color rgb="FF000000"/>
            <rFont val="Arial"/>
            <family val="2"/>
          </rPr>
          <t>Knut:
Går inn i kostnadsbildet programmer, vil motregnes mot inntektene for programmet</t>
        </r>
      </text>
    </comment>
    <comment ref="B121" authorId="1" guid="{93B09886-CFB1-407B-8AD2-5A22303A9BAA}" shapeId="0" xr:uid="{00000000-0006-0000-0500-000007000000}">
      <text>
        <r>
          <rPr>
            <sz val="10"/>
            <color rgb="FF000000"/>
            <rFont val="Arial"/>
            <family val="2"/>
          </rPr>
          <t>Knut A. M. Berge:
Etter faktiske reisekostnader 2016 som var snitt 1459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</authors>
  <commentList>
    <comment ref="P5" authorId="0" guid="{ACEF8C8A-EAFC-449F-A0DA-6E700792C559}" shapeId="0" xr:uid="{75AF39C5-6B25-4A5D-A434-94292E1663C6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En avmeldt i tide fra lagene-fjernet fra statistikken. Fire no show som vi fakturerte kostnaden fra hm.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Berge, Knut Audun Monen</author>
  </authors>
  <commentList>
    <comment ref="G10" authorId="0" guid="{A422A480-1975-4929-B531-D5FE49FB9400}" shapeId="0" xr:uid="{00000000-0006-0000-0A00-000001000000}">
      <text>
        <r>
          <rPr>
            <sz val="10"/>
            <color rgb="FF000000"/>
            <rFont val="Arial"/>
            <family val="2"/>
          </rPr>
          <t>Knut A. M. Berge:
jan-sep</t>
        </r>
      </text>
    </comment>
    <comment ref="G16" authorId="0" guid="{FA424731-BE5A-4818-82ED-682E0756E5D7}" shapeId="0" xr:uid="{00000000-0006-0000-0A00-000002000000}">
      <text>
        <r>
          <rPr>
            <sz val="10"/>
            <color rgb="FF000000"/>
            <rFont val="Arial"/>
            <family val="2"/>
          </rPr>
          <t xml:space="preserve">Knut:
Hvordan passer denne med den faktiske kostnaden. Deltakerprosent, pris reise, </t>
        </r>
      </text>
    </comment>
    <comment ref="G18" authorId="0" guid="{43260AC3-62C3-4C0E-BA2B-658BAEF19D5E}" shapeId="0" xr:uid="{00000000-0006-0000-0A00-000003000000}">
      <text>
        <r>
          <rPr>
            <sz val="10"/>
            <color rgb="FF000000"/>
            <rFont val="Arial"/>
            <family val="2"/>
          </rPr>
          <t>Knut:
leder deltar på lts, sudt og neo og kunne kanskje vært høyere enn barneleir</t>
        </r>
      </text>
    </comment>
    <comment ref="A25" authorId="0" guid="{BEED6656-068B-48F6-ABB1-A929755BAC24}" shapeId="0" xr:uid="{00000000-0006-0000-0A00-000004000000}">
      <text>
        <r>
          <rPr>
            <sz val="10"/>
            <color rgb="FF000000"/>
            <rFont val="Arial"/>
            <family val="2"/>
          </rPr>
          <t>Knut A. M. Berge:
NJC er en uke</t>
        </r>
      </text>
    </comment>
    <comment ref="A65" authorId="0" guid="{42CF6329-402B-45C4-B097-111B7A80A3FD}" shapeId="0" xr:uid="{00000000-0006-0000-0A00-000005000000}">
      <text>
        <r>
          <rPr>
            <sz val="10"/>
            <color rgb="FF000000"/>
            <rFont val="Arial"/>
            <family val="2"/>
          </rPr>
          <t>Knut:
Går inn i kostnadsbildet programmer, vil motregnes mot inntektene for programmet</t>
        </r>
      </text>
    </comment>
    <comment ref="I78" authorId="1" guid="{E752E421-F3A7-4241-A237-6E1F355D648B}" shapeId="0" xr:uid="{00000000-0006-0000-0A00-000006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26 SU-ledere
42 Village-ledere
9 YM-ledere
7 IC-ledere
</t>
        </r>
      </text>
    </comment>
    <comment ref="I96" authorId="1" guid="{54440531-17FA-435D-A368-6C59E1EA91D3}" shapeId="0" xr:uid="{00000000-0006-0000-0A00-000007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26 delegasjoner
4+leder * 26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7" authorId="0" guid="{43B879AB-0C2D-46BD-B814-2B97D0E86666}" shapeId="0" xr:uid="{00000000-0006-0000-0C00-000001000000}">
      <text>
        <r>
          <rPr>
            <sz val="10"/>
            <color rgb="FF000000"/>
            <rFont val="Arial"/>
            <family val="2"/>
          </rPr>
          <t>Knut A. M. Berge:
Troms og Finnmark ble kompensensert og ikke fakturert grunnet reisekostnader</t>
        </r>
      </text>
    </comment>
    <comment ref="H11" authorId="0" guid="{4055655E-7E6A-45E5-AAFB-72B726E150B1}" shapeId="0" xr:uid="{00000000-0006-0000-0C00-000002000000}">
      <text>
        <r>
          <rPr>
            <sz val="10"/>
            <color rgb="FF000000"/>
            <rFont val="Arial"/>
            <family val="2"/>
          </rPr>
          <t>Knut:
Settes etter samtale med daglig leder. Kan undersøke om reglene for dette sammen med Ingrid</t>
        </r>
      </text>
    </comment>
    <comment ref="F12" authorId="0" guid="{68301E64-4EC1-462A-9082-9DA0A45F1AE1}" shapeId="0" xr:uid="{00000000-0006-0000-0C00-000003000000}">
      <text>
        <r>
          <rPr>
            <sz val="10"/>
            <color rgb="FF000000"/>
            <rFont val="Arial"/>
            <family val="2"/>
          </rPr>
          <t>Knut A. M. Berge:
Var det vi søkte om</t>
        </r>
      </text>
    </comment>
    <comment ref="F13" authorId="0" guid="{56A429AE-7844-475C-BBCC-2F1D527D28D9}" shapeId="0" xr:uid="{00000000-0006-0000-0C00-000004000000}">
      <text>
        <r>
          <rPr>
            <sz val="10"/>
            <color rgb="FF000000"/>
            <rFont val="Arial"/>
            <family val="2"/>
          </rPr>
          <t>Knut A. M. Berge:
Var det vi fikk</t>
        </r>
      </text>
    </comment>
  </commentList>
</comments>
</file>

<file path=xl/sharedStrings.xml><?xml version="1.0" encoding="utf-8"?>
<sst xmlns="http://schemas.openxmlformats.org/spreadsheetml/2006/main" count="1414" uniqueCount="764">
  <si>
    <t>Varesalg</t>
  </si>
  <si>
    <t>Salgsinntekter, avgiftsfrie</t>
  </si>
  <si>
    <t>Salgsinntekter</t>
  </si>
  <si>
    <t>Andre driftsrelaterte inntekter</t>
  </si>
  <si>
    <t>Momskompensasjon Inntekt</t>
  </si>
  <si>
    <t>Deltakeravgift</t>
  </si>
  <si>
    <t>Internasjonal avgift</t>
  </si>
  <si>
    <t>Frifondmidler</t>
  </si>
  <si>
    <t>Verden i - UDI Støtte</t>
  </si>
  <si>
    <t>Medlemskontingent</t>
  </si>
  <si>
    <t>Annen driftsinntekt</t>
  </si>
  <si>
    <t>SUM Inntekt</t>
  </si>
  <si>
    <t>Varekjøp</t>
  </si>
  <si>
    <t>Leirstøtte til fylkeslagene</t>
  </si>
  <si>
    <t>Deltakeravgifter</t>
  </si>
  <si>
    <t>Momskompensasjon UT</t>
  </si>
  <si>
    <t>Utbetaling medlemskontingengt til lokallagene</t>
  </si>
  <si>
    <t>Verden i - overføring til lokallag</t>
  </si>
  <si>
    <t>Varekostnad</t>
  </si>
  <si>
    <t>Lønn</t>
  </si>
  <si>
    <t>Prosjektlønn</t>
  </si>
  <si>
    <t>Faste lønninger</t>
  </si>
  <si>
    <t>Påløpne feriepenger</t>
  </si>
  <si>
    <t>Fri losji og bolig</t>
  </si>
  <si>
    <t>Andre fordeler i arbeidsforhold</t>
  </si>
  <si>
    <t>Arbeidsgiveravgift</t>
  </si>
  <si>
    <t>Arb.giv.avg.pål.feriep.</t>
  </si>
  <si>
    <t>Innberetningspliktige pensjonskostnader</t>
  </si>
  <si>
    <t>Personalforsikring</t>
  </si>
  <si>
    <t>Innskuddspensjon</t>
  </si>
  <si>
    <t>Diverse lønnskostnader</t>
  </si>
  <si>
    <t>Lønnskostnad</t>
  </si>
  <si>
    <t xml:space="preserve"> </t>
  </si>
  <si>
    <t>Kontorleie</t>
  </si>
  <si>
    <t>Leie lokaler</t>
  </si>
  <si>
    <t>Lys, varme</t>
  </si>
  <si>
    <t>Leie andre kontormaskiner</t>
  </si>
  <si>
    <t>Rekvisita - utstyr</t>
  </si>
  <si>
    <t>Regnskapshonorar</t>
  </si>
  <si>
    <t>Honorar for økonomisk &amp; juridisk bistand</t>
  </si>
  <si>
    <t>Kontorrekvisita</t>
  </si>
  <si>
    <t>Datatjenester</t>
  </si>
  <si>
    <t>Trykksaker</t>
  </si>
  <si>
    <t>Aviser, tidsskrifter, bøker mv</t>
  </si>
  <si>
    <t>Møter, kurs, oppdatering mv.</t>
  </si>
  <si>
    <t>Mat/servering</t>
  </si>
  <si>
    <t>Telefon</t>
  </si>
  <si>
    <t>Porto</t>
  </si>
  <si>
    <t>Gaver</t>
  </si>
  <si>
    <t>Forsikringer</t>
  </si>
  <si>
    <t>Øreavrunding</t>
  </si>
  <si>
    <t>Reisekostnader, ikke oppgavepliktig</t>
  </si>
  <si>
    <t>Overnatting/hotell</t>
  </si>
  <si>
    <t>Representasjon, ikke fradragsberettiget</t>
  </si>
  <si>
    <t>Medlemskontingenter</t>
  </si>
  <si>
    <t>Prosjektkoordinering</t>
  </si>
  <si>
    <t>Tilbakebetaling ubrukte prosjektmidler</t>
  </si>
  <si>
    <t>Diverse utgifter</t>
  </si>
  <si>
    <t>Forbruk varer</t>
  </si>
  <si>
    <t>Styre- og bedriftsforsamlingsmøter</t>
  </si>
  <si>
    <t>Bank og kortgebyrer</t>
  </si>
  <si>
    <t>Tapsføring eiendeler</t>
  </si>
  <si>
    <t>Tap på fordringer</t>
  </si>
  <si>
    <t>Annen driftskostnad</t>
  </si>
  <si>
    <t>SUM Kostnad</t>
  </si>
  <si>
    <t>Driftsresultat</t>
  </si>
  <si>
    <t>Renteinntekter, skattefrie</t>
  </si>
  <si>
    <t>Annen renteinntekt</t>
  </si>
  <si>
    <t>Verdiendring DNB-Invest Likviditetsfond</t>
  </si>
  <si>
    <t>Nedskrivning av finansielle omløpsmidler</t>
  </si>
  <si>
    <t>Rentekostnader, ikke fradragsberettigede</t>
  </si>
  <si>
    <t>Finanskostnader</t>
  </si>
  <si>
    <t>Årsresultat</t>
  </si>
  <si>
    <t>Disponeringer</t>
  </si>
  <si>
    <t>Avbestillingsforsikring</t>
  </si>
  <si>
    <t>Internasjonale leirer (delegasjonsfondet)</t>
  </si>
  <si>
    <t>Øst Europa</t>
  </si>
  <si>
    <t>STAI Fondet</t>
  </si>
  <si>
    <t>Reservefond</t>
  </si>
  <si>
    <t>Annen egenkapital</t>
  </si>
  <si>
    <t>SUM avsetninger</t>
  </si>
  <si>
    <t>Avsatt fri egenkapital</t>
  </si>
  <si>
    <t xml:space="preserve">Konto </t>
  </si>
  <si>
    <t>Kontonavn</t>
  </si>
  <si>
    <t>Totalt</t>
  </si>
  <si>
    <t>Sentralt</t>
  </si>
  <si>
    <t>Program</t>
  </si>
  <si>
    <t>Komiteer</t>
  </si>
  <si>
    <t>Prosjekter</t>
  </si>
  <si>
    <t>Budsjett</t>
  </si>
  <si>
    <t>Regnskap</t>
  </si>
  <si>
    <t>Inntekter</t>
  </si>
  <si>
    <t>Momskompensasjon</t>
  </si>
  <si>
    <t>Verden i - UDI støtte</t>
  </si>
  <si>
    <t>DRIFTSINNTEKTER</t>
  </si>
  <si>
    <t>Kostnader</t>
  </si>
  <si>
    <t>Leirstøtte</t>
  </si>
  <si>
    <t>Utbetaling medlemskontingent</t>
  </si>
  <si>
    <t>Fri Losji og bolig</t>
  </si>
  <si>
    <t>Arb.giv.avg pål. Feriep.</t>
  </si>
  <si>
    <t>Lønnskostnader</t>
  </si>
  <si>
    <t>Honorar for økonomisk &amp; juridisk</t>
  </si>
  <si>
    <t>Aviser, tiddskrifter, bøker mv.</t>
  </si>
  <si>
    <t>Møter, kurs, oppdatering</t>
  </si>
  <si>
    <t>Reisekostnader, ikke oppg. Plikt</t>
  </si>
  <si>
    <t>Representasjon, ikke fradragsbe</t>
  </si>
  <si>
    <t>Lisensavgifter og royalties</t>
  </si>
  <si>
    <t>Tapsføring eiendel</t>
  </si>
  <si>
    <t>SUM Driftskostnader</t>
  </si>
  <si>
    <t>Andre finanskostnader</t>
  </si>
  <si>
    <t>SUM Finanskostnader</t>
  </si>
  <si>
    <t>Resultat før årsoppgjørsdisp.</t>
  </si>
  <si>
    <t>Sum disposisjoner</t>
  </si>
  <si>
    <t>Delegasjonsfondet</t>
  </si>
  <si>
    <t>Østeuropafondet</t>
  </si>
  <si>
    <t>Staifondet</t>
  </si>
  <si>
    <t>Sum avsetninger</t>
  </si>
  <si>
    <t>PUNDKURS</t>
  </si>
  <si>
    <t>Pundkursen (Mot Fylkeslag)</t>
  </si>
  <si>
    <t>Pundkursen (Mot CISV International)</t>
  </si>
  <si>
    <t>DIVERSE AVGIFTER</t>
  </si>
  <si>
    <t>valuta</t>
  </si>
  <si>
    <t>£ pr døgn pr deltaker (unntatt IPP)</t>
  </si>
  <si>
    <t>Disse opplysningene hentes fra "C-10" hos CISV International Resources</t>
  </si>
  <si>
    <t xml:space="preserve">Internasjonal forsikring </t>
  </si>
  <si>
    <t>Internasjonal avgift - IPP</t>
  </si>
  <si>
    <t>£ pr døgn pr deltaker</t>
  </si>
  <si>
    <t>Internasjonal avgift - Interchange</t>
  </si>
  <si>
    <t>£ pr. deltaker</t>
  </si>
  <si>
    <t>Internasjonal avgift - Global Conference costsharing</t>
  </si>
  <si>
    <t>£ pr. chapter og NA</t>
  </si>
  <si>
    <t>Internasjonal avgift - Chapter fee</t>
  </si>
  <si>
    <t>£ pr. chapter</t>
  </si>
  <si>
    <t>Internasjonal avgift - NA Membership</t>
  </si>
  <si>
    <t>£ for CISV Norge</t>
  </si>
  <si>
    <t>EMEA Fond - Barneleir og Step Up</t>
  </si>
  <si>
    <t>EMEA Fond - IC</t>
  </si>
  <si>
    <t>EMEA Fond - Youth Meeting og Seminarleir</t>
  </si>
  <si>
    <t>Nasjonal avgift</t>
  </si>
  <si>
    <t>kroner</t>
  </si>
  <si>
    <t>Norge</t>
  </si>
  <si>
    <t>Nasjonal avbestillingsforsikring</t>
  </si>
  <si>
    <t>Effektpakker</t>
  </si>
  <si>
    <t>Ledertrening - Barneleir</t>
  </si>
  <si>
    <t>pr delegat</t>
  </si>
  <si>
    <t>Ledertrening - JC</t>
  </si>
  <si>
    <t>pr JC</t>
  </si>
  <si>
    <t>Ledertrening - Step-Up</t>
  </si>
  <si>
    <t>Delegattrening - Step-Up</t>
  </si>
  <si>
    <t>Ledertrening - Interchange</t>
  </si>
  <si>
    <t>Ledertrening - Youth Meeting</t>
  </si>
  <si>
    <t>Delegattrening - Youth Meeting (ind, 16-18)</t>
  </si>
  <si>
    <t>Delegattrening - Youth Meeting (14-15 år))</t>
  </si>
  <si>
    <t>Delegattrening - IPP</t>
  </si>
  <si>
    <t>Delegattrening - Seminar</t>
  </si>
  <si>
    <t>Norden</t>
  </si>
  <si>
    <t>Europa</t>
  </si>
  <si>
    <t>USA/Canada</t>
  </si>
  <si>
    <t>Verden for øvrig</t>
  </si>
  <si>
    <t>Barneleir Delegasjoner</t>
  </si>
  <si>
    <t>Barneleir JC</t>
  </si>
  <si>
    <t>Egne Barneleirer</t>
  </si>
  <si>
    <t>Step-Up Delegasjoner</t>
  </si>
  <si>
    <t>Egne Step-Up</t>
  </si>
  <si>
    <t>Interchange Delegasjoner</t>
  </si>
  <si>
    <t>Youth Meeting Delegasjoner 8 dager (12-13 år)</t>
  </si>
  <si>
    <t>Youth Meeting Delegasjoner 15 dager (12-13 år)</t>
  </si>
  <si>
    <t>Youth Meeting Delegasjoner 8 dager (14-15 år)</t>
  </si>
  <si>
    <t>Youth Meeting Delegasjoner 15 dager (14-15 år)</t>
  </si>
  <si>
    <t>Youth Meeting Individuell 8 dager</t>
  </si>
  <si>
    <t>Youth Meeting Individuell 15 dager</t>
  </si>
  <si>
    <t>Egne Seminarleirer</t>
  </si>
  <si>
    <t>IPP-delegater 14-18 dager</t>
  </si>
  <si>
    <t>IPP-delegater 19-23 dager</t>
  </si>
  <si>
    <t>Egne IPP 14-18 dager</t>
  </si>
  <si>
    <t>Antall deltakere 14-18 dager</t>
  </si>
  <si>
    <t>Egne IPP 19-23 dager</t>
  </si>
  <si>
    <t>Antall deltakere 19-23 dager</t>
  </si>
  <si>
    <t>LEIRSTØTTE FRA INTERNATIONAL OFFICE</t>
  </si>
  <si>
    <t>Barneleir (inkl. JC)</t>
  </si>
  <si>
    <t>£ pr leir</t>
  </si>
  <si>
    <t>Disse opplysningene hentes fra "C-10" hos CISV International Resources. Dette inntektsføres ikke, men brukes som rabatt mot kostnadene av internasjonale avgifter</t>
  </si>
  <si>
    <t>«Portion given to host NA/Total FEE*daily rate»</t>
  </si>
  <si>
    <t>Step-Up</t>
  </si>
  <si>
    <t>IPP</t>
  </si>
  <si>
    <t>Youth Meeting</t>
  </si>
  <si>
    <t>Seminarleir</t>
  </si>
  <si>
    <t>Andel av deltageravgift som leirstøtte fra IO</t>
  </si>
  <si>
    <t>LEIRSTØTTE FRA CISV NORGE</t>
  </si>
  <si>
    <t>Barneleir</t>
  </si>
  <si>
    <t>kr</t>
  </si>
  <si>
    <t>Youth Meeting - 8dager</t>
  </si>
  <si>
    <t>Youth Meeting - 15dager</t>
  </si>
  <si>
    <t>Reisestøtte - Barneleir</t>
  </si>
  <si>
    <t>Delegasjoner - Finnmark</t>
  </si>
  <si>
    <t>Delegasjoner</t>
  </si>
  <si>
    <t>Støtte pr delegasjon</t>
  </si>
  <si>
    <t>Delegasjoner - Troms</t>
  </si>
  <si>
    <t>Delegasjoner - Sogn&amp;Fjordane</t>
  </si>
  <si>
    <t>Reisestøtte - Step-up</t>
  </si>
  <si>
    <t>TRENING</t>
  </si>
  <si>
    <t>Reise</t>
  </si>
  <si>
    <t>Kost</t>
  </si>
  <si>
    <t>Deltakelse</t>
  </si>
  <si>
    <t>NEO</t>
  </si>
  <si>
    <t>LTS</t>
  </si>
  <si>
    <t>STAS</t>
  </si>
  <si>
    <t>SUDT</t>
  </si>
  <si>
    <t>Delegattrening – YM (14-15)</t>
  </si>
  <si>
    <t>Leir Kick-Off</t>
  </si>
  <si>
    <t>NJC/Seminarleirtrening</t>
  </si>
  <si>
    <t>Leirlederseminar</t>
  </si>
  <si>
    <t>Totalt tilskudd</t>
  </si>
  <si>
    <t>Går til internasjonale program</t>
  </si>
  <si>
    <t>Går til nasjonalt arbeid / sentralfanen</t>
  </si>
  <si>
    <t>Støtte pr int. Deltaker</t>
  </si>
  <si>
    <t>Frifond Organisasjon</t>
  </si>
  <si>
    <t>Høstmøte og Landsmøte</t>
  </si>
  <si>
    <t>Momskompensasjon inn</t>
  </si>
  <si>
    <t>Medlemsregister</t>
  </si>
  <si>
    <t>Medlemsregister anskaffelse</t>
  </si>
  <si>
    <t>Medlemsblad</t>
  </si>
  <si>
    <t>Gaver som gir fradrag</t>
  </si>
  <si>
    <t>Totale inntekter</t>
  </si>
  <si>
    <t>MØTER OG SEMINAR</t>
  </si>
  <si>
    <t>Reiser innenlands</t>
  </si>
  <si>
    <t>Reiser utenlands</t>
  </si>
  <si>
    <t>Kost/losji/opphold</t>
  </si>
  <si>
    <t>Diverse driftskostn.</t>
  </si>
  <si>
    <t>Nasjonale møter</t>
  </si>
  <si>
    <t>Sentralstyremøter (2 møter)</t>
  </si>
  <si>
    <t>Landsmøtet CISV Norge, Kristiansand</t>
  </si>
  <si>
    <t>Overlappingsseminar</t>
  </si>
  <si>
    <t xml:space="preserve">Høstmøtet </t>
  </si>
  <si>
    <t xml:space="preserve">Komitémøte Januar </t>
  </si>
  <si>
    <t>Nasjonal Junior Camp (eksl. Seminarleirdeltakere)</t>
  </si>
  <si>
    <t>Internasjonale møter</t>
  </si>
  <si>
    <t>IJBC International Junior Branch Conferance</t>
  </si>
  <si>
    <t>EJBM European Junior Branch Meeting</t>
  </si>
  <si>
    <t>EMEA European Middle East Africa</t>
  </si>
  <si>
    <t>SUM</t>
  </si>
  <si>
    <t>DRIFTSKOSTNADER</t>
  </si>
  <si>
    <t>Ulike poster</t>
  </si>
  <si>
    <t>Kontingenter</t>
  </si>
  <si>
    <t>Drift nettsider, sosiale medier og nyhetsbrev</t>
  </si>
  <si>
    <t>Internasjonale avgifter</t>
  </si>
  <si>
    <t>Tap fordringer</t>
  </si>
  <si>
    <t>Momskompensasjon ut</t>
  </si>
  <si>
    <t>Medlemsblad - Setting</t>
  </si>
  <si>
    <t>Medlemsblad - Trykking</t>
  </si>
  <si>
    <t>Medlemsblad - Porto</t>
  </si>
  <si>
    <t>Gaver som gir fradrag (utbetaling til lagene)</t>
  </si>
  <si>
    <t>SEKRETARIATET</t>
  </si>
  <si>
    <t>Lønn Daglig Leder</t>
  </si>
  <si>
    <t>Feriepenger</t>
  </si>
  <si>
    <t>Arbeidsgiveravgift (IKKE inkl Feriepenger)</t>
  </si>
  <si>
    <t>Kontorhold (Kaffe/frukt)</t>
  </si>
  <si>
    <t>Forsikring</t>
  </si>
  <si>
    <t>Reklame/informasjonstiltak</t>
  </si>
  <si>
    <t>Leie kontormaskiner</t>
  </si>
  <si>
    <t>Gave/Støtte til Øst-europa fra fondet</t>
  </si>
  <si>
    <t>Global Conference fee NA</t>
  </si>
  <si>
    <t>Satser finnes i dokument C-10</t>
  </si>
  <si>
    <t>Global Conference fees chapters</t>
  </si>
  <si>
    <t>UTVIKLINGSOPPGAVER</t>
  </si>
  <si>
    <t>Promoteringsmateriale</t>
  </si>
  <si>
    <t>Administrasjon Prosjekter</t>
  </si>
  <si>
    <t>Totale utgifter</t>
  </si>
  <si>
    <t>Møter og seminar</t>
  </si>
  <si>
    <t>Driftskostnader</t>
  </si>
  <si>
    <t>Sekretariatet</t>
  </si>
  <si>
    <t>Utviklingsoppgaver</t>
  </si>
  <si>
    <t>Totale kostnader</t>
  </si>
  <si>
    <t>Finansinntekter</t>
  </si>
  <si>
    <t>Sum finansinntekter</t>
  </si>
  <si>
    <t>BARNELEIR</t>
  </si>
  <si>
    <t>Delegat/
Person</t>
  </si>
  <si>
    <t>Prisberegning</t>
  </si>
  <si>
    <t>Verden</t>
  </si>
  <si>
    <t>JC</t>
  </si>
  <si>
    <t>Delegasjon</t>
  </si>
  <si>
    <t>Nasjonal forsikring</t>
  </si>
  <si>
    <t>Pris pr delegasjon/delegat - Norden</t>
  </si>
  <si>
    <t>Effektpakke</t>
  </si>
  <si>
    <t>Pris pr delegasjon/delegat - Europa</t>
  </si>
  <si>
    <t xml:space="preserve">Ledertrening </t>
  </si>
  <si>
    <t>-</t>
  </si>
  <si>
    <t>Pris pr delegasjon/delegat - USA/Canada</t>
  </si>
  <si>
    <t>Ledertrening JC</t>
  </si>
  <si>
    <t>Pris pr delegasjon/delegat - Verden for øvrig</t>
  </si>
  <si>
    <t>Pris pr JC:</t>
  </si>
  <si>
    <t>EMEA fond</t>
  </si>
  <si>
    <t>Internasjonal forsikring</t>
  </si>
  <si>
    <t>Sum</t>
  </si>
  <si>
    <t>Pris pr. person</t>
  </si>
  <si>
    <t>STEP-UP</t>
  </si>
  <si>
    <t>Interchange</t>
  </si>
  <si>
    <t>Pris pr delegasjon/delegat</t>
  </si>
  <si>
    <t>Delegattrening</t>
  </si>
  <si>
    <t>Pris pr delegasjon/delegat - Delegasjon 8 dager (12-13 år)</t>
  </si>
  <si>
    <t>Pris pr delegasjon/delegat - Delegasjon 8 dager (14-15 år)</t>
  </si>
  <si>
    <t>Pris pr delegasjon/delegat - Delegasjon 15 dager (12-13 år)</t>
  </si>
  <si>
    <t>Pris pr delegasjon/delegat - Delegasjon 15 dager (14-15 år)</t>
  </si>
  <si>
    <t>Pris pr delegat - Delegat 8 dager</t>
  </si>
  <si>
    <t>Pris pr delegat - Delegat 15 dager</t>
  </si>
  <si>
    <t>INTERCHANGE</t>
  </si>
  <si>
    <t>Pr. person</t>
  </si>
  <si>
    <t>Pris pr delegat</t>
  </si>
  <si>
    <t>Pris pr delegat 14-18 dager</t>
  </si>
  <si>
    <t>Pris pr delegat 19-23 dager</t>
  </si>
  <si>
    <t>Avrunding</t>
  </si>
  <si>
    <t>YOUTH MEETING</t>
  </si>
  <si>
    <t>8-dager</t>
  </si>
  <si>
    <t>15-dager</t>
  </si>
  <si>
    <t>Ind. 8-dager</t>
  </si>
  <si>
    <t>Ind. 15-dager</t>
  </si>
  <si>
    <t>8-dager, 14-15år</t>
  </si>
  <si>
    <t>15-dager, 14-15år</t>
  </si>
  <si>
    <t>Nasjonal avbestilling</t>
  </si>
  <si>
    <t>Ledertrening</t>
  </si>
  <si>
    <t>SEMINAR</t>
  </si>
  <si>
    <t>Internasjonal Avgift</t>
  </si>
  <si>
    <t>14-18 dager</t>
  </si>
  <si>
    <t>19-23 dager</t>
  </si>
  <si>
    <t>Leirstøtte SNS</t>
  </si>
  <si>
    <t>Internasjonal avgift fra norske deltagere</t>
  </si>
  <si>
    <t>Nasjonal avgift (til sentral)</t>
  </si>
  <si>
    <t>Reisestøtte - Finnmark</t>
  </si>
  <si>
    <t>Reisestøtte - Troms</t>
  </si>
  <si>
    <t>Reisestøtte - Sogn&amp;Fjordane</t>
  </si>
  <si>
    <t>LTS - Reise</t>
  </si>
  <si>
    <t>LTS – Kost/losji</t>
  </si>
  <si>
    <t>NEO - Reise</t>
  </si>
  <si>
    <t>NEO – Kost/losji</t>
  </si>
  <si>
    <t>STAS - Reise</t>
  </si>
  <si>
    <t>STAS - Kost/losji</t>
  </si>
  <si>
    <t>SUDT - Reise</t>
  </si>
  <si>
    <t>SUDT – Kost/losji</t>
  </si>
  <si>
    <t>YM-Trening 14-15 åringer - Reise</t>
  </si>
  <si>
    <t>YM-Trening 14-15 åringer -Kost/losji</t>
  </si>
  <si>
    <t>Deltageravgift fra IO for norske leire</t>
  </si>
  <si>
    <t>Totale kostnader eksk avbestillingsforsikring</t>
  </si>
  <si>
    <t>Totale kostnader inkl avbestillingsforsikring</t>
  </si>
  <si>
    <t>NETTO (PROGRAMINNTEKTER MINUS UTGIFTER)</t>
  </si>
  <si>
    <t>Type</t>
  </si>
  <si>
    <t>Beskrivelse</t>
  </si>
  <si>
    <t>Forklaring</t>
  </si>
  <si>
    <t>Økning fra 2014-2015 lagt til 2016 for å få 2017</t>
  </si>
  <si>
    <t>£ per deltager (for program over 21 dager)</t>
  </si>
  <si>
    <t>£ per deltager (for program under 21 dager)</t>
  </si>
  <si>
    <t>£ pr. fylkeslag og NA</t>
  </si>
  <si>
    <t xml:space="preserve">£ pr. fylkeslag   </t>
  </si>
  <si>
    <t>Virkelig pundkurs</t>
  </si>
  <si>
    <t>Økning KPI</t>
  </si>
  <si>
    <t>KPI-juster</t>
  </si>
  <si>
    <t>Tor Gunnar? Er dette for å dekke stabstrening? Er for å dekke drift av CISV Norge</t>
  </si>
  <si>
    <t xml:space="preserve">Innholdet i effektpakken endres i 2017. </t>
  </si>
  <si>
    <t xml:space="preserve">Ikke økt siden 2015 - kpi </t>
  </si>
  <si>
    <t>Har LTS og SUDT</t>
  </si>
  <si>
    <t>Gikk ned 200 fra 2015 til 2016. Er lik trening som andre ledere</t>
  </si>
  <si>
    <t xml:space="preserve">Programmet går i minus. Vi øker med </t>
  </si>
  <si>
    <t>Reiseutgifter 24 804 / 17</t>
  </si>
  <si>
    <t xml:space="preserve">RSM høst 15 ønsker at budsjettet indeksreguleres </t>
  </si>
  <si>
    <t>Step Up</t>
  </si>
  <si>
    <t>Opererer vi med feil andel deltakeravgift fra IO?</t>
  </si>
  <si>
    <t>Hvordan kommer man til dette tallet? Ser ut til å være brukt feil fordelingsnøkkel.</t>
  </si>
  <si>
    <t>Sammenheng med forsikring IO?</t>
  </si>
  <si>
    <t>52 /16 = 3,25</t>
  </si>
  <si>
    <t>i kr</t>
  </si>
  <si>
    <t>KPI-justere. Har vi råd til det?</t>
  </si>
  <si>
    <t>Her blir det vel ikke riktig å KPI-justere?</t>
  </si>
  <si>
    <t>Forholdet mellom å reise fra disse fylkene og resten av landet har vel ikke endret seg?</t>
  </si>
  <si>
    <t>Av vel 160 potensielle var det 94 påmeldte til NEO.</t>
  </si>
  <si>
    <t>Stab</t>
  </si>
  <si>
    <t>Leder barneleir, step up, interchange</t>
  </si>
  <si>
    <t>Justeres opp pga 2016-tall og fordi det er et mål</t>
  </si>
  <si>
    <t>Barneleir (5 stab)</t>
  </si>
  <si>
    <t>Step Up (4 stab)</t>
  </si>
  <si>
    <t>Youth meeting (to leirer 4 stab)</t>
  </si>
  <si>
    <t>Har kun tall fra 2016 da dette er nytt</t>
  </si>
  <si>
    <t>Vi må i hvert fall kpi-justere</t>
  </si>
  <si>
    <t xml:space="preserve">En i Bergen, en i Oslo. </t>
  </si>
  <si>
    <t>Beholder likt fordi man ikke alltid har lederne på plass til så tidlig på våren.</t>
  </si>
  <si>
    <t>Øst og Vest</t>
  </si>
  <si>
    <t>Mest sammenlignbart med SUDT. Reise framstår lavt, vi setter den 650 fordi det kun er en av dette i landet.</t>
  </si>
  <si>
    <t>Mange voksne som deltar</t>
  </si>
  <si>
    <t>Påskeferie, dyrere å reise</t>
  </si>
  <si>
    <t>Mest sammenlignbart med SUDT</t>
  </si>
  <si>
    <t>Total utbetaling</t>
  </si>
  <si>
    <t>Forbruk av utbetaling</t>
  </si>
  <si>
    <t>Overføres og forbrukes sentralt</t>
  </si>
  <si>
    <t>Tilleggsforbruk utover utbetaling dekkes sentralt</t>
  </si>
  <si>
    <t>Navn:</t>
  </si>
  <si>
    <t>Type prosjekt:</t>
  </si>
  <si>
    <t>Tidspunkt:</t>
  </si>
  <si>
    <t>Søker om:</t>
  </si>
  <si>
    <t>Egenandel</t>
  </si>
  <si>
    <t>Egenandel - Kommentar</t>
  </si>
  <si>
    <t>Peace One Day</t>
  </si>
  <si>
    <t>Opplysningsarbeid for fred UD</t>
  </si>
  <si>
    <t>Utveksling med CISV Colombia - Mangfold</t>
  </si>
  <si>
    <t>Fredskorpset</t>
  </si>
  <si>
    <t>UDI - Verden i</t>
  </si>
  <si>
    <t>UDI</t>
  </si>
  <si>
    <t>Studieforbundet for Næring og Samfunn</t>
  </si>
  <si>
    <t>SNS - Leirstøtte</t>
  </si>
  <si>
    <t>EVS 1</t>
  </si>
  <si>
    <t>Aktiv Ungdom</t>
  </si>
  <si>
    <t>EVS 2</t>
  </si>
  <si>
    <t>Generell kompetanseheving</t>
  </si>
  <si>
    <t>Kompetanseheving Norges Fredsråd</t>
  </si>
  <si>
    <t>Utdanning</t>
  </si>
  <si>
    <t>Org.utvikling</t>
  </si>
  <si>
    <t>Informasjon</t>
  </si>
  <si>
    <t>Mosaikk</t>
  </si>
  <si>
    <t>Junior</t>
  </si>
  <si>
    <t>Januarmøtet</t>
  </si>
  <si>
    <t>Komitemøte</t>
  </si>
  <si>
    <t>Mosaikpotten</t>
  </si>
  <si>
    <t>Mosaikprisen</t>
  </si>
  <si>
    <t>Strategiske satsninger</t>
  </si>
  <si>
    <t>Stabstrening Verden-I</t>
  </si>
  <si>
    <t>Stab LTS-Vest</t>
  </si>
  <si>
    <t>Stab LTS-Øst</t>
  </si>
  <si>
    <t>Stab NEO</t>
  </si>
  <si>
    <t>Stab STAS</t>
  </si>
  <si>
    <t>Stab SUDT Vest</t>
  </si>
  <si>
    <t>Stab SUDT Øst</t>
  </si>
  <si>
    <t>Stab leirlederseminar</t>
  </si>
  <si>
    <t>Stab YMT (Youth meeting trening)</t>
  </si>
  <si>
    <t>Reise LM kun leder av komite</t>
  </si>
  <si>
    <t>Reise HM for hele komiteen</t>
  </si>
  <si>
    <t>Variablene må jobbes mest med i starten av prosessen.</t>
  </si>
  <si>
    <t>Oppdatere i forhold til rutinemessige ting (C10 fra IO), antall invitasjoner, antalle egne leirer osv.</t>
  </si>
  <si>
    <t>Treffe estimatene for treningene våre, B-D 92:99</t>
  </si>
  <si>
    <t>Variabler</t>
  </si>
  <si>
    <t>Internasjonal driftsstøtte B102</t>
  </si>
  <si>
    <t xml:space="preserve">Gå gjennom </t>
  </si>
  <si>
    <t>Vi subsidierer de som reiser utenfor norge/norden med internasjonal driftsstøtte fra bufdir</t>
  </si>
  <si>
    <t>Justere på program  -gjøres gjennom variabler</t>
  </si>
  <si>
    <t>HØSTMØTET: Alle komiteene har blitt dekket til høstmøtet</t>
  </si>
  <si>
    <t>Tidligere har reisestøtte for komiteene ligget inne under fane sentralt. F24</t>
  </si>
  <si>
    <t xml:space="preserve">Legge inn </t>
  </si>
  <si>
    <t>Må være likt for alle komiteene OBS landsmøtet også</t>
  </si>
  <si>
    <t>Nye prosjekter</t>
  </si>
  <si>
    <t>Når det gjelder kost og losji har vi bedre forutsetninger å estimere</t>
  </si>
  <si>
    <t>Må informere komiteene</t>
  </si>
  <si>
    <t>Overlappingsseminar:</t>
  </si>
  <si>
    <t xml:space="preserve">Mat 6000, leie av lokale 8000 eller 14000, 6000 hotell, reiseskjema, </t>
  </si>
  <si>
    <t>Komiteer:</t>
  </si>
  <si>
    <t>Vær obs på budsjettimplikasjoner forbundet med komiteer vs. Hva som allerede er hensynstatt under sentralt</t>
  </si>
  <si>
    <t>Ingen kostnader forbundet med tlf og lignende</t>
  </si>
  <si>
    <t>Under fane komiteer under utdanningskomiteen skal det hovedsak være reisekostnader stab - hvorfor så relativ stor forskjell i LTS øst vs. Vest</t>
  </si>
  <si>
    <t>Fane prosjekter viser innvilget støtte som vi har fått basert på søknader</t>
  </si>
  <si>
    <t>Egne prosjektregnskap for større prosjekter. Enklere å forklare regnskapet</t>
  </si>
  <si>
    <t xml:space="preserve">Vil oppleve at budsjett og regnskap ikke alltid vil samstemme </t>
  </si>
  <si>
    <t>7610 er konto som brukes ved budsjettering, men ved regnskap vil denne ha blitt plassert mer konkret hvor de faktisk har gått.</t>
  </si>
  <si>
    <t>Hvor god kontroll har vi på mulige steder vi kan søke om midler til prosjekter</t>
  </si>
  <si>
    <t>Fane sentralt:</t>
  </si>
  <si>
    <t>Hva</t>
  </si>
  <si>
    <t>Kommentar</t>
  </si>
  <si>
    <t>Salg av effekter ikke inkl effektpakker</t>
  </si>
  <si>
    <t>Snitt for siste tre årene i nettbutikken</t>
  </si>
  <si>
    <t>Basert på antall medlemmer året før. Over/under 26. LNU. Også avhengig av hvor mange organisasjoner og deres medlemmer som søker</t>
  </si>
  <si>
    <t>Nytt fakturasystem gjør at deltakeravgift har gått fra sekkeposten 3901 til 3902 + andre. Dermed kan vi lettere se hva som faktisk er inntekt her i regnskap.</t>
  </si>
  <si>
    <t>HM2015</t>
  </si>
  <si>
    <t xml:space="preserve">LM </t>
  </si>
  <si>
    <t>Sum hm15 og lm 16 134. vi legger oss litt under</t>
  </si>
  <si>
    <t>LM 2016 innbet</t>
  </si>
  <si>
    <t>Snitt siste tre år pluss noen som betaler som vi ikke kan regne som medlemmer</t>
  </si>
  <si>
    <t>Avkortning av hva vi søker om i forhold til hva vi får</t>
  </si>
  <si>
    <t>Avkortningen øker mest sannsynlig, økningen i momskompensasjon skal gå til reise til neste global conferance</t>
  </si>
  <si>
    <t>Dvs at vi MÅ gå i pluss</t>
  </si>
  <si>
    <t>Avkorting i prosent</t>
  </si>
  <si>
    <t>Drift faktureres per adresse ganget med en sum</t>
  </si>
  <si>
    <t>Ser ikke ut at inntekten fra lagene går inn på budjett enkel!</t>
  </si>
  <si>
    <t>Anskaffelseskostnad 2017 må være delt mellom lagene og Norge.</t>
  </si>
  <si>
    <t>Vi foreslår at det baseres på medlemstall og ikke antall adresser.</t>
  </si>
  <si>
    <t>Denne posten må justeres utfra hvilket medlemssystem RSM går for.</t>
  </si>
  <si>
    <t>Ble fylkeslagene fakturert sist?</t>
  </si>
  <si>
    <t xml:space="preserve">Styringsgruppe for innspill til medlemssystem: </t>
  </si>
  <si>
    <t>Ren drift, avsetninger fordelt på tre år (ikke vanlig), avskrive over flere år,</t>
  </si>
  <si>
    <t>Obs når vi legger fram forslag til medlemssystem - VISE FRAM VEDTAKET FOR RSM. Hva trenger vi, hva kan leveres og hva vil det koste. Innspill fra Hilde. Mail til lagene -hva er viktigst for dem.</t>
  </si>
  <si>
    <t>Arbeidsgruppa mener at situasjonen ikke er så kritisk som den kunne virke på landsmøtet og vil derfor kartlegge behovene i lagene FØR vi går til anskaffelse av system.</t>
  </si>
  <si>
    <t>Marsmøtet: Knut 2000, Turid 2000, Ingrid og Ine 500 hver, Morten 4000, Fredrik 1000 =10 Junimøtet: Samme for alle + eventuelt nyvalgt leder og programansvarlig.  = 12 000</t>
  </si>
  <si>
    <t xml:space="preserve">Reiseutjevning inntil 3 per fylkeslag, leder av komiteer. </t>
  </si>
  <si>
    <t>Fire stk som tar tog a 1000 kr, 4 stk som flyr a 2500, 1 stk som flyr fra finnmark 3500</t>
  </si>
  <si>
    <t>5*2000 + 1*5000</t>
  </si>
  <si>
    <t>5 i sentralstyret, 1 fra oslo 250, 1 fra krsand 1500, 2 fra bergen 2*1500, 1 fra finnmark 4000,evs 2*250, daglig leder 250, ib 2000</t>
  </si>
  <si>
    <t>4000+0+1500+2000+2000</t>
  </si>
  <si>
    <t>Hotell Ernst i Kristiansand. Norge dekker STS, sekreteriat og komiteledere - 5+4+12 (to juniorledere)</t>
  </si>
  <si>
    <t>Sentralstyret og sekreteriat kommer fredag</t>
  </si>
  <si>
    <t>Prosjekter:</t>
  </si>
  <si>
    <t>Etter samtale med Ingrid 12.10.16 beholder vi summene her.</t>
  </si>
  <si>
    <t>Noe som framstår rart er at inntektene er lavere i budsjett_enkel</t>
  </si>
  <si>
    <t>1 140 000 ligger inn under prosjekter, men kun 930 000 ligger i budsjett_enkel - en differanse på 210 000</t>
  </si>
  <si>
    <t>140 000 av inntektene overføres til sentralt</t>
  </si>
  <si>
    <t>Flybilletter til Colombia</t>
  </si>
  <si>
    <t xml:space="preserve">CISV har en representant, ikke IB. </t>
  </si>
  <si>
    <t xml:space="preserve">De norske deltakerne deltar på RTF. </t>
  </si>
  <si>
    <t>24.-28. mai 2017</t>
  </si>
  <si>
    <t>Velkomstmiddag i oslo, styreleder daglig leder - hele kompaz, tidligere deltakere, evsere (hvis hensiktsmessig)</t>
  </si>
  <si>
    <t>Høstmøtet - hele kompaz. Evalueringshelg</t>
  </si>
  <si>
    <t>Prosjektet dekker</t>
  </si>
  <si>
    <t>CISV colombia betaler partnerskapsmøte på høstmøtet</t>
  </si>
  <si>
    <t>Betaler de faktisk for hotellet?</t>
  </si>
  <si>
    <t>Gi diverse cisv-effekter har blitt pleid å gi - typisk hettegenser/t-skjorter</t>
  </si>
  <si>
    <t xml:space="preserve">IB har ikke totalt oversikt slik at det kan finnes flere </t>
  </si>
  <si>
    <t>Økonomi-gruppa</t>
  </si>
  <si>
    <t>Diverse lønn</t>
  </si>
  <si>
    <t>Ledertrening - IPP</t>
  </si>
  <si>
    <t>Ledertrening - JC barneleir</t>
  </si>
  <si>
    <t>Varekjøp, avg. Pl (inkl MVA) nettbutikk</t>
  </si>
  <si>
    <t>Håndtering effekter,</t>
  </si>
  <si>
    <t xml:space="preserve">Reiser innenlands </t>
  </si>
  <si>
    <t>Flyttet over til internasjonal forsikring - FEIL!</t>
  </si>
  <si>
    <t>Stab LTS 3</t>
  </si>
  <si>
    <t>Stab NJC/seminarleirdeltakertrening</t>
  </si>
  <si>
    <t>Seminarleirtrening/NJC -reise</t>
  </si>
  <si>
    <t>Seminarleirtrening/NJC -kost og losji</t>
  </si>
  <si>
    <t>Subsidiering/kostutjevning</t>
  </si>
  <si>
    <t xml:space="preserve">SUDT Delegattrening - Step-Up </t>
  </si>
  <si>
    <t>Juniorpotten</t>
  </si>
  <si>
    <t>Global Conferance</t>
  </si>
  <si>
    <t>Internasjonal avgift, forsikring og EMEA</t>
  </si>
  <si>
    <t>Netto Internasjonal avgift, forsikring og EMEA</t>
  </si>
  <si>
    <t>BEAM</t>
  </si>
  <si>
    <t xml:space="preserve">Subsidiering/kostutjevning
</t>
  </si>
  <si>
    <t>Type rom</t>
  </si>
  <si>
    <t>Pris per rom 2016</t>
  </si>
  <si>
    <t>Pris per rom 2017</t>
  </si>
  <si>
    <t>Enkeltrom</t>
  </si>
  <si>
    <t>Dobbeltrom</t>
  </si>
  <si>
    <t>Tremannsrom</t>
  </si>
  <si>
    <t>Firemannsrom</t>
  </si>
  <si>
    <t>Dagpakke</t>
  </si>
  <si>
    <t>Antall betalende deltakere</t>
  </si>
  <si>
    <t>Antall dekkede deltakere</t>
  </si>
  <si>
    <t>Andel av de som dekkes som kommer fredag</t>
  </si>
  <si>
    <t>Dekket deltaker sentralt</t>
  </si>
  <si>
    <t>Antall</t>
  </si>
  <si>
    <t>Inntekt</t>
  </si>
  <si>
    <t>Total inntekt</t>
  </si>
  <si>
    <t>NETTO</t>
  </si>
  <si>
    <t>Fredag</t>
  </si>
  <si>
    <t>Lørdag</t>
  </si>
  <si>
    <t>Fylkes - lokallag</t>
  </si>
  <si>
    <t>Kost og losji</t>
  </si>
  <si>
    <t>SUM hotell</t>
  </si>
  <si>
    <t>SUM reise</t>
  </si>
  <si>
    <t>SUM total</t>
  </si>
  <si>
    <t xml:space="preserve">Inntekter høstmøte </t>
  </si>
  <si>
    <t>Inntekter landsmøte</t>
  </si>
  <si>
    <t>FINANSINNTEKTER 2018</t>
  </si>
  <si>
    <t>AVSETNING TIL FOND 2018</t>
  </si>
  <si>
    <t>Seminarleirdelegater fra Norge</t>
  </si>
  <si>
    <t>Seminarleir 24 deltakere</t>
  </si>
  <si>
    <t>Seminarleirsstabstrening</t>
  </si>
  <si>
    <t>Risk Management komite</t>
  </si>
  <si>
    <t>Gjennomsnitt støtte per poeng</t>
  </si>
  <si>
    <t>Varesalg utenom effektpakker</t>
  </si>
  <si>
    <t>Antall poeng fra internasjonal deltakelse (3 utenfor 1 innenfor Europa)</t>
  </si>
  <si>
    <t>Andre ikke arb.giv.avg.pliktige forsikr.</t>
  </si>
  <si>
    <t xml:space="preserve">Regnskap </t>
  </si>
  <si>
    <t>Revisjon</t>
  </si>
  <si>
    <t>Stipendfond</t>
  </si>
  <si>
    <t>Differanse</t>
  </si>
  <si>
    <t>Diff budsjett LM budsjett vedtatt RSM</t>
  </si>
  <si>
    <t>&lt;--- kan bruker til kostutjevning/subsiduering under program</t>
  </si>
  <si>
    <t>Antall deltakere barneleir</t>
  </si>
  <si>
    <t>Antall deltakere Step Up</t>
  </si>
  <si>
    <t>Antall deltakere Interchange</t>
  </si>
  <si>
    <t>Antall deltakere Youth Meeting</t>
  </si>
  <si>
    <t>Antall deltakere seminarleir</t>
  </si>
  <si>
    <t>Antall deltakere IPP</t>
  </si>
  <si>
    <t>Antall deltakere totalt (inkludert ledere)</t>
  </si>
  <si>
    <t>Fordelingsutvalget nasjonal grunnstøtte</t>
  </si>
  <si>
    <t>Fordelingsutvalget internasjonal grunnstøtte</t>
  </si>
  <si>
    <t>Gaver som gir fradrag -inntekt</t>
  </si>
  <si>
    <t>Diverse inntekter</t>
  </si>
  <si>
    <t>Revisjonshonorar</t>
  </si>
  <si>
    <t>Stab leirstartseminar</t>
  </si>
  <si>
    <t>Delegattrening – YM (14-15) faktisk deltalse SUDT</t>
  </si>
  <si>
    <t>Delegattrening – YM (14-15) mulig deltalse SUDT</t>
  </si>
  <si>
    <t>Antall mulige ledere</t>
  </si>
  <si>
    <t xml:space="preserve">leder , village, SU, IC, YM, </t>
  </si>
  <si>
    <t>Leirstartseminar</t>
  </si>
  <si>
    <t>Leirstartseminar mulige deltakere</t>
  </si>
  <si>
    <t>Leirstartseminar faktiske deltakere</t>
  </si>
  <si>
    <t>Kost/losji</t>
  </si>
  <si>
    <t>Antall Program og Personer 2019</t>
  </si>
  <si>
    <t xml:space="preserve">Vi har ikke C-10. Det var en økning på 2,5% fra 2017-2018. vi anslår at de fortsetter å øke annet hvert år og beholder denne på 12, 45. </t>
  </si>
  <si>
    <t>Seminarleirsstabstrening - reise</t>
  </si>
  <si>
    <t>Seminarleirsstabstrening - kost og losji</t>
  </si>
  <si>
    <t>Priser 2019</t>
  </si>
  <si>
    <t>Pris per rom 2018</t>
  </si>
  <si>
    <t>Pris per rom 2019</t>
  </si>
  <si>
    <t>Nasjonale deltakere:</t>
  </si>
  <si>
    <t>STS</t>
  </si>
  <si>
    <t>Sekreteriatet</t>
  </si>
  <si>
    <t>Nasjonale komiteer</t>
  </si>
  <si>
    <t>Leirstartseminar (obs ligger inne på program)</t>
  </si>
  <si>
    <t>Foredragsholdere</t>
  </si>
  <si>
    <t>RSM</t>
  </si>
  <si>
    <t>Juniorløypa</t>
  </si>
  <si>
    <t>Kurs for tillitsvalgte</t>
  </si>
  <si>
    <t>LIC-trening</t>
  </si>
  <si>
    <t>Div bolker</t>
  </si>
  <si>
    <t>Stab SUDT 3</t>
  </si>
  <si>
    <t>Program Stab til STAS, LTS, SUDT, leirlederseminar, NEO og leirstartsseminar</t>
  </si>
  <si>
    <t>Antall potensielle deltakere til NEO</t>
  </si>
  <si>
    <t>Kostnad stab NEO 2019</t>
  </si>
  <si>
    <t>Antall potensielle deltakere LTS Øst</t>
  </si>
  <si>
    <t>Antall potensielle deltakere LTS Vest</t>
  </si>
  <si>
    <t>Antall potensielle deltakere LTS Øst 3</t>
  </si>
  <si>
    <t>Kostnad stab LTS Vest</t>
  </si>
  <si>
    <t>Kostnad stab LTS Øst</t>
  </si>
  <si>
    <t>Kostnad stab LTS Øst 3</t>
  </si>
  <si>
    <t>Global Conference fees lokallag</t>
  </si>
  <si>
    <t>Ny komiteplan</t>
  </si>
  <si>
    <t>Utdanning, kvalitet og trening</t>
  </si>
  <si>
    <t>Ressurs</t>
  </si>
  <si>
    <t>Kommunikasjon</t>
  </si>
  <si>
    <t xml:space="preserve">Utvikling </t>
  </si>
  <si>
    <t>Risk Management*</t>
  </si>
  <si>
    <t>*Anser det som tilstrekkelig å være 3 på HM, er 5 i komiteen</t>
  </si>
  <si>
    <t>Chapter fee - lokallag</t>
  </si>
  <si>
    <t>UDI -Verden I</t>
  </si>
  <si>
    <t>Inntekt 2019</t>
  </si>
  <si>
    <t>Kostnad 2019</t>
  </si>
  <si>
    <t>Administrasjon 2019</t>
  </si>
  <si>
    <t>Kompetanseheving ansatt</t>
  </si>
  <si>
    <t>Andre ansatte</t>
  </si>
  <si>
    <t>Stipendfondet</t>
  </si>
  <si>
    <t>Januarmøte</t>
  </si>
  <si>
    <t>Landsmøtet CISV Norge, Gardermoen</t>
  </si>
  <si>
    <t>Utvikling systemer og nettsider</t>
  </si>
  <si>
    <t>Reduksjon i pris for å øke deltakelsen</t>
  </si>
  <si>
    <t>RTF -potten</t>
  </si>
  <si>
    <t>SUM antall</t>
  </si>
  <si>
    <t xml:space="preserve">Nasjonal Junior Camp (eksl. Seminarleirdeltakere) </t>
  </si>
  <si>
    <t>LIC - trening -reise</t>
  </si>
  <si>
    <t>LIC - trening - kost/losji</t>
  </si>
  <si>
    <t>LIC -trening</t>
  </si>
  <si>
    <t>Ledertrening LIC</t>
  </si>
  <si>
    <t>Ledertrening - LIC</t>
  </si>
  <si>
    <t>Delegattrening- Youth Meeting (ind, 16-18)</t>
  </si>
  <si>
    <t>Stab til STAS, LTS, SUDT, leirlederseminar, NEO, seminarleirstrening og leirstartsseminar</t>
  </si>
  <si>
    <t>Leirstartseminar -reise</t>
  </si>
  <si>
    <t>Leirstartseminar - kost/losji</t>
  </si>
  <si>
    <t>SUM Inntekter</t>
  </si>
  <si>
    <t>Prosjekter – overføringer Verden i</t>
  </si>
  <si>
    <t>PROSJEKTER I 2019</t>
  </si>
  <si>
    <t>IO</t>
  </si>
  <si>
    <t>Hosting Chapter</t>
  </si>
  <si>
    <t>Antall dager</t>
  </si>
  <si>
    <t>Antall deltakere</t>
  </si>
  <si>
    <t>Per døgn</t>
  </si>
  <si>
    <t>Village</t>
  </si>
  <si>
    <t>Seminar Camp</t>
  </si>
  <si>
    <t>Youth Meeting (8 days) Age 12-15</t>
  </si>
  <si>
    <t>Youth Meeting (8 days) Age 16+</t>
  </si>
  <si>
    <t>Youth Meeting (15 days) Age 12-15</t>
  </si>
  <si>
    <t>Youth Meeting (15 days) Age 16+</t>
  </si>
  <si>
    <t>IPP (14-18 days)</t>
  </si>
  <si>
    <t>IPP (19-23 days)</t>
  </si>
  <si>
    <t>Økning</t>
  </si>
  <si>
    <t>Pris 2017</t>
  </si>
  <si>
    <t>The Weekend - pilotprosjekt</t>
  </si>
  <si>
    <t>Inventar</t>
  </si>
  <si>
    <t>Reklamekostnad</t>
  </si>
  <si>
    <t>Viderefakturering internasjonale kostnader</t>
  </si>
  <si>
    <t>Regnskap 2018</t>
  </si>
  <si>
    <t>Refusjon av sykepenger</t>
  </si>
  <si>
    <t>Refusjon av arbeidsgiveravgift</t>
  </si>
  <si>
    <t>Annen ikke arbeidsgiveravgiftspliktig forsikring</t>
  </si>
  <si>
    <t>Annen fremmed tjeneste</t>
  </si>
  <si>
    <t>Netto finansresultat</t>
  </si>
  <si>
    <t>CISV Norge 2019 -Kostnader</t>
  </si>
  <si>
    <t>Budsjett 2019 RSM 2018</t>
  </si>
  <si>
    <t xml:space="preserve">CISV Norge 2019 - Inntekter </t>
  </si>
  <si>
    <t>a</t>
  </si>
  <si>
    <t>Per delegasjon</t>
  </si>
  <si>
    <t>Per deltaker</t>
  </si>
  <si>
    <t>Per døgn per deltaker</t>
  </si>
  <si>
    <t>Youth Meeting 12-15år 8 dager</t>
  </si>
  <si>
    <t>Youth Meeting 12-15år 15 dager</t>
  </si>
  <si>
    <t>Youth meeting 16+ 8 dager</t>
  </si>
  <si>
    <t>Youth meeting 16+ 15 dager</t>
  </si>
  <si>
    <t>IPP (kort) 14-18 dager</t>
  </si>
  <si>
    <t>IPP (lang) 19-23 dager</t>
  </si>
  <si>
    <t>IC</t>
  </si>
  <si>
    <t>Internasjonal avgift Village</t>
  </si>
  <si>
    <t>Internasjonal avgift Step Up</t>
  </si>
  <si>
    <t>Internasjonal avgift JC</t>
  </si>
  <si>
    <t>Internasjonal avgift Youth Meeting 12-15år 8 dager</t>
  </si>
  <si>
    <t>Internasjonal avgift Youth Meeting 12-15år 15 dager</t>
  </si>
  <si>
    <t>Internasjonal avgift Youth meeting 16+ 8 dager</t>
  </si>
  <si>
    <t>Internasjonal avgift Youth meeting 16+ 15 dager</t>
  </si>
  <si>
    <t>Internasjonal avgift Seminarleir</t>
  </si>
  <si>
    <t>Internasjonal avgift IPP (kort) 14-18 dager</t>
  </si>
  <si>
    <t>Internasjonal avgift IPP (lang) 19-23 dager</t>
  </si>
  <si>
    <t>Internasjonal avgift IC</t>
  </si>
  <si>
    <t xml:space="preserve">£  pr deltaker </t>
  </si>
  <si>
    <t>Del IO</t>
  </si>
  <si>
    <t>Del arrangør</t>
  </si>
  <si>
    <t>Prosentvis som arrangør beholder</t>
  </si>
  <si>
    <t>£ pr deltaker</t>
  </si>
  <si>
    <t>Egne Youth Meeting 12-15år 8 dager</t>
  </si>
  <si>
    <t>Egne Youth Meeting 12-15år 15 dager</t>
  </si>
  <si>
    <t>Egne Youth meeting 16+ 15 dager</t>
  </si>
  <si>
    <t xml:space="preserve">Egne Youth meeting 16+ 8 dager </t>
  </si>
  <si>
    <t>Youth meeting 16+ 8 dager 25 deltakere</t>
  </si>
  <si>
    <t>Youth meeting 16+ 15 dager 25 deltakere</t>
  </si>
  <si>
    <r>
      <t>Seminarleir (24 eller 30 per leir) -</t>
    </r>
    <r>
      <rPr>
        <i/>
        <u/>
        <sz val="10"/>
        <color rgb="FF000000"/>
        <rFont val="Arial"/>
        <family val="2"/>
      </rPr>
      <t xml:space="preserve"> sjekk hvert år</t>
    </r>
  </si>
  <si>
    <t>Seminarleirdeltakere til egen leir (24 eller 30)</t>
  </si>
  <si>
    <t>Seminarleir 30 deltakere</t>
  </si>
  <si>
    <t>Kompetanseheving frivillige</t>
  </si>
  <si>
    <t>Brukes for å subsidere deltakeravgift. Færre leirer i 2020.</t>
  </si>
  <si>
    <t>Chapter fee + NA membership fee</t>
  </si>
  <si>
    <t>Priser 2020</t>
  </si>
  <si>
    <t>Risk Management</t>
  </si>
  <si>
    <t>Utvikling</t>
  </si>
  <si>
    <t>Kontroll</t>
  </si>
  <si>
    <t>Valg</t>
  </si>
  <si>
    <t xml:space="preserve">Fast ledertrening/utdanning </t>
  </si>
  <si>
    <t>SNS - nasjonale møter</t>
  </si>
  <si>
    <t>Andre inntekter</t>
  </si>
  <si>
    <t>Inntekter med direkte kostnader</t>
  </si>
  <si>
    <t>Møterom</t>
  </si>
  <si>
    <t>Pris per rom 2020</t>
  </si>
  <si>
    <t>Møterom stort per dag</t>
  </si>
  <si>
    <t>Mellomstort per dag</t>
  </si>
  <si>
    <t>Lite møterom per dag</t>
  </si>
  <si>
    <t>Hvem deltar på HM:</t>
  </si>
  <si>
    <t>LAG</t>
  </si>
  <si>
    <t>Leirstart</t>
  </si>
  <si>
    <t>Kompaz</t>
  </si>
  <si>
    <t>Foredragsholder</t>
  </si>
  <si>
    <t>Kontor</t>
  </si>
  <si>
    <t>36 komitemedlemmer, men kun 19 som stilte. Hvorfor?</t>
  </si>
  <si>
    <t>Utgår.</t>
  </si>
  <si>
    <t>Hvorfor HM?</t>
  </si>
  <si>
    <t xml:space="preserve">2018 ca 35 deltakere på HM utenom RSM og leirstart. </t>
  </si>
  <si>
    <t>Leie lokaler inntekt</t>
  </si>
  <si>
    <t>Leirstartsem fra Program-fanen</t>
  </si>
  <si>
    <t>Plenumsal</t>
  </si>
  <si>
    <t>Inkludert</t>
  </si>
  <si>
    <t>Antall dekket av CISV Norge</t>
  </si>
  <si>
    <t>Antall dekket av lagene</t>
  </si>
  <si>
    <t>No show</t>
  </si>
  <si>
    <t>Kontoret</t>
  </si>
  <si>
    <t>Dekket deltaker lokalt</t>
  </si>
  <si>
    <t>Total utgift</t>
  </si>
  <si>
    <t>Se sentral og komite fane</t>
  </si>
  <si>
    <t>Budsjett 2020</t>
  </si>
  <si>
    <t>Revidert budsjett 2019</t>
  </si>
  <si>
    <t>CISV NORGE 2020 BUDSJETT</t>
  </si>
  <si>
    <t>Differanse 20 - LM 19</t>
  </si>
  <si>
    <t>Lommepenger (EVS, FK)</t>
  </si>
  <si>
    <t>SENTRALT - UTGIFTER 2020</t>
  </si>
  <si>
    <t>SENTRALT - INNTEKTER 2020</t>
  </si>
  <si>
    <t>Juniorenes inspirasjonsleir - JIL</t>
  </si>
  <si>
    <t>Utregninger -&gt;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</si>
</sst>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 * #,##0.00_ ;_ * \-#,##0.00_ ;_ * &quot;-&quot;??_ ;_ @_ "/>
    <numFmt numFmtId="165" formatCode="\ #,##0.00\ ;&quot; -&quot;#,##0.00\ ;&quot; -&quot;#\ ;@\ "/>
    <numFmt numFmtId="166" formatCode="[$kr-414]\ #,##0.00;[Red]\-[$kr-414]\ #,##0.00"/>
    <numFmt numFmtId="167" formatCode="\ #,##0\ ;&quot; -&quot;#,##0\ ;&quot; - &quot;;@\ "/>
    <numFmt numFmtId="168" formatCode="\ #,##0\ ;\(#,##0\)"/>
    <numFmt numFmtId="169" formatCode="#,##0.0;\-#,##0.0"/>
    <numFmt numFmtId="170" formatCode="0.0"/>
    <numFmt numFmtId="171" formatCode="\ #,##0.00\ ;\(#,##0.00\)"/>
    <numFmt numFmtId="172" formatCode="[$kr-406]\ #,##0;[$kr-406]&quot; -&quot;#,##0"/>
    <numFmt numFmtId="173" formatCode="d/\ mmm\ yy"/>
    <numFmt numFmtId="174" formatCode="&quot; kr &quot;#,##0.00\ ;&quot; kr -&quot;#,##0.00\ ;&quot; kr -&quot;#\ ;@\ "/>
    <numFmt numFmtId="175" formatCode="\ #,##0\ ;&quot; -&quot;#,##0\ ;&quot; -&quot;#\ ;@\ "/>
    <numFmt numFmtId="176" formatCode="_ * #,##0_ ;_ * \-#,##0_ ;_ * &quot;-&quot;??_ ;_ @_ "/>
    <numFmt numFmtId="177" formatCode="\ #,##0.00\ ;&quot; -&quot;#,##0.00\ ;&quot; -&quot;#.00\ ;@\ "/>
    <numFmt numFmtId="178" formatCode="0.0%"/>
    <numFmt numFmtId="179" formatCode="0.00000000"/>
    <numFmt numFmtId="180" formatCode="_-* #,##0_-;\-* #,##0_-;_-* &quot;-&quot;??_-;_-@_-"/>
  </numFmts>
  <fonts count="5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i/>
      <sz val="11"/>
      <color rgb="FFC55A11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44546A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4"/>
      <color rgb="FF000000"/>
      <name val="Calibri"/>
      <family val="2"/>
    </font>
    <font>
      <b/>
      <sz val="10"/>
      <name val="Arial"/>
      <family val="2"/>
    </font>
    <font>
      <b/>
      <i/>
      <u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Calibri"/>
      <family val="2"/>
    </font>
    <font>
      <sz val="11"/>
      <color rgb="FF212121"/>
      <name val="Arial"/>
      <family val="2"/>
    </font>
    <font>
      <i/>
      <u/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DEDED"/>
        <bgColor rgb="FFEDEDED"/>
      </patternFill>
    </fill>
    <fill>
      <patternFill patternType="solid">
        <fgColor rgb="FFE7E6E6"/>
        <bgColor rgb="FFE7E6E6"/>
      </patternFill>
    </fill>
    <fill>
      <patternFill patternType="solid">
        <fgColor rgb="FFFFFF00"/>
        <bgColor rgb="FFFFFF00"/>
      </patternFill>
    </fill>
    <fill>
      <patternFill patternType="solid">
        <fgColor rgb="FFFFD966"/>
        <bgColor rgb="FFFFD966"/>
      </patternFill>
    </fill>
    <fill>
      <patternFill patternType="solid">
        <fgColor rgb="FFFFC000"/>
        <bgColor rgb="FFFFC000"/>
      </patternFill>
    </fill>
    <fill>
      <patternFill patternType="solid">
        <fgColor rgb="FFA9D18E"/>
        <bgColor rgb="FFA9D18E"/>
      </patternFill>
    </fill>
    <fill>
      <patternFill patternType="solid">
        <fgColor rgb="FFFF0000"/>
        <bgColor rgb="FFFF0000"/>
      </patternFill>
    </fill>
    <fill>
      <patternFill patternType="solid">
        <fgColor rgb="FFE2F0D9"/>
        <bgColor rgb="FFE2F0D9"/>
      </patternFill>
    </fill>
    <fill>
      <patternFill patternType="solid">
        <fgColor rgb="FF00B050"/>
        <bgColor rgb="FF00B050"/>
      </patternFill>
    </fill>
    <fill>
      <patternFill patternType="solid">
        <fgColor rgb="FFC55A11"/>
        <bgColor rgb="FFC55A11"/>
      </patternFill>
    </fill>
    <fill>
      <patternFill patternType="solid">
        <fgColor rgb="FF00B0F0"/>
        <bgColor rgb="FF00B0F0"/>
      </patternFill>
    </fill>
    <fill>
      <patternFill patternType="solid">
        <fgColor rgb="FFFFE699"/>
        <bgColor rgb="FFFFE699"/>
      </patternFill>
    </fill>
    <fill>
      <patternFill patternType="solid">
        <fgColor rgb="FFF8CBAD"/>
        <bgColor rgb="FFF8CBAD"/>
      </patternFill>
    </fill>
    <fill>
      <patternFill patternType="solid">
        <fgColor rgb="FFD8D8D8"/>
        <bgColor rgb="FFD8D8D8"/>
      </patternFill>
    </fill>
    <fill>
      <patternFill patternType="solid">
        <fgColor rgb="FF008000"/>
        <bgColor rgb="FF008000"/>
      </patternFill>
    </fill>
    <fill>
      <patternFill patternType="solid">
        <fgColor rgb="FF00B0F0"/>
        <bgColor rgb="FFFFC000"/>
      </patternFill>
    </fill>
    <fill>
      <patternFill patternType="solid">
        <fgColor rgb="FFFFC000"/>
        <bgColor rgb="FFE2F0D9"/>
      </patternFill>
    </fill>
    <fill>
      <patternFill patternType="solid">
        <fgColor rgb="FFFFFF00"/>
        <bgColor rgb="FFFFFFFF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E2F0D9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rgb="FFE7E6E6"/>
      </patternFill>
    </fill>
    <fill>
      <patternFill patternType="solid">
        <fgColor rgb="FF00B050"/>
        <bgColor rgb="FFE7E6E6"/>
      </patternFill>
    </fill>
    <fill>
      <patternFill patternType="solid">
        <fgColor rgb="FFFF0000"/>
        <bgColor rgb="FFE7E6E6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D966"/>
      </patternFill>
    </fill>
    <fill>
      <patternFill patternType="solid">
        <fgColor theme="0"/>
        <bgColor indexed="27"/>
      </patternFill>
    </fill>
    <fill>
      <patternFill patternType="solid">
        <fgColor rgb="FF92D050"/>
        <bgColor rgb="FFA9D18E"/>
      </patternFill>
    </fill>
    <fill>
      <patternFill patternType="solid">
        <fgColor rgb="FF92D050"/>
        <bgColor rgb="FFE2F0D9"/>
      </patternFill>
    </fill>
    <fill>
      <patternFill patternType="solid">
        <fgColor rgb="FF92D05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0"/>
        <bgColor rgb="FFFFC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2C2C2"/>
      </left>
      <right style="thin">
        <color rgb="FFC2C2C2"/>
      </right>
      <top style="thin">
        <color rgb="FFC2C2C2"/>
      </top>
      <bottom style="thin">
        <color rgb="FFC2C2C2"/>
      </bottom>
      <diagonal/>
    </border>
  </borders>
  <cellStyleXfs count="63">
    <xf numFmtId="0" fontId="0" fillId="0" borderId="0"/>
    <xf numFmtId="0" fontId="5" fillId="0" borderId="0"/>
    <xf numFmtId="0" fontId="27" fillId="0" borderId="0"/>
    <xf numFmtId="0" fontId="25" fillId="0" borderId="0"/>
    <xf numFmtId="165" fontId="25" fillId="0" borderId="0"/>
    <xf numFmtId="0" fontId="25" fillId="0" borderId="0"/>
    <xf numFmtId="0" fontId="5" fillId="0" borderId="0">
      <alignment vertical="center"/>
    </xf>
    <xf numFmtId="9" fontId="25" fillId="0" borderId="0"/>
    <xf numFmtId="9" fontId="25" fillId="0" borderId="0"/>
    <xf numFmtId="164" fontId="5" fillId="0" borderId="0" applyNumberFormat="0" applyFill="0" applyBorder="0" applyAlignment="0" applyProtection="0"/>
    <xf numFmtId="9" fontId="5" fillId="0" borderId="0" applyNumberFormat="0" applyFill="0" applyBorder="0" applyAlignment="0" applyProtection="0"/>
    <xf numFmtId="0" fontId="24" fillId="0" borderId="0"/>
    <xf numFmtId="164" fontId="29" fillId="0" borderId="0" applyFont="0" applyFill="0" applyBorder="0" applyAlignment="0" applyProtection="0"/>
    <xf numFmtId="0" fontId="21" fillId="0" borderId="0"/>
    <xf numFmtId="0" fontId="5" fillId="0" borderId="0"/>
    <xf numFmtId="164" fontId="21" fillId="0" borderId="0" applyFont="0" applyFill="0" applyBorder="0" applyAlignment="0" applyProtection="0"/>
    <xf numFmtId="0" fontId="5" fillId="0" borderId="0"/>
    <xf numFmtId="164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88" applyNumberFormat="0" applyFill="0" applyAlignment="0" applyProtection="0"/>
    <xf numFmtId="0" fontId="36" fillId="0" borderId="89" applyNumberFormat="0" applyFill="0" applyAlignment="0" applyProtection="0"/>
    <xf numFmtId="0" fontId="37" fillId="0" borderId="90" applyNumberFormat="0" applyFill="0" applyAlignment="0" applyProtection="0"/>
    <xf numFmtId="0" fontId="37" fillId="0" borderId="0" applyNumberFormat="0" applyFill="0" applyBorder="0" applyAlignment="0" applyProtection="0"/>
    <xf numFmtId="0" fontId="38" fillId="41" borderId="0" applyNumberFormat="0" applyBorder="0" applyAlignment="0" applyProtection="0"/>
    <xf numFmtId="0" fontId="39" fillId="42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91" applyNumberFormat="0" applyAlignment="0" applyProtection="0"/>
    <xf numFmtId="0" fontId="42" fillId="45" borderId="92" applyNumberFormat="0" applyAlignment="0" applyProtection="0"/>
    <xf numFmtId="0" fontId="43" fillId="45" borderId="91" applyNumberFormat="0" applyAlignment="0" applyProtection="0"/>
    <xf numFmtId="0" fontId="44" fillId="0" borderId="93" applyNumberFormat="0" applyFill="0" applyAlignment="0" applyProtection="0"/>
    <xf numFmtId="0" fontId="45" fillId="46" borderId="94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6" applyNumberFormat="0" applyFill="0" applyAlignment="0" applyProtection="0"/>
    <xf numFmtId="0" fontId="49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49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9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9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9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49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0" borderId="0"/>
    <xf numFmtId="0" fontId="1" fillId="47" borderId="95" applyNumberFormat="0" applyFont="0" applyAlignment="0" applyProtection="0"/>
    <xf numFmtId="43" fontId="1" fillId="0" borderId="0" applyFont="0" applyFill="0" applyBorder="0" applyAlignment="0" applyProtection="0"/>
  </cellStyleXfs>
  <cellXfs count="685">
    <xf numFmtId="0" fontId="0" fillId="0" borderId="0" xfId="0" applyFont="1" applyAlignment="1"/>
    <xf numFmtId="0" fontId="2" fillId="2" borderId="1" xfId="0" applyFont="1" applyFill="1" applyBorder="1"/>
    <xf numFmtId="0" fontId="4" fillId="0" borderId="0" xfId="0" applyFont="1"/>
    <xf numFmtId="0" fontId="4" fillId="0" borderId="2" xfId="0" applyFont="1" applyBorder="1"/>
    <xf numFmtId="0" fontId="4" fillId="2" borderId="1" xfId="0" applyFont="1" applyFill="1" applyBorder="1"/>
    <xf numFmtId="165" fontId="4" fillId="2" borderId="0" xfId="0" applyNumberFormat="1" applyFont="1" applyFill="1" applyBorder="1"/>
    <xf numFmtId="4" fontId="4" fillId="2" borderId="0" xfId="0" applyNumberFormat="1" applyFont="1" applyFill="1" applyBorder="1"/>
    <xf numFmtId="0" fontId="4" fillId="0" borderId="6" xfId="0" applyFont="1" applyBorder="1"/>
    <xf numFmtId="0" fontId="4" fillId="6" borderId="7" xfId="0" applyFont="1" applyFill="1" applyBorder="1"/>
    <xf numFmtId="0" fontId="4" fillId="4" borderId="9" xfId="0" applyFont="1" applyFill="1" applyBorder="1" applyAlignment="1">
      <alignment wrapText="1"/>
    </xf>
    <xf numFmtId="0" fontId="4" fillId="6" borderId="9" xfId="0" applyFont="1" applyFill="1" applyBorder="1"/>
    <xf numFmtId="0" fontId="4" fillId="5" borderId="9" xfId="0" applyFont="1" applyFill="1" applyBorder="1"/>
    <xf numFmtId="0" fontId="2" fillId="0" borderId="0" xfId="0" applyFont="1" applyAlignment="1">
      <alignment horizontal="left"/>
    </xf>
    <xf numFmtId="0" fontId="4" fillId="6" borderId="10" xfId="0" applyFont="1" applyFill="1" applyBorder="1"/>
    <xf numFmtId="0" fontId="2" fillId="2" borderId="0" xfId="0" applyFont="1" applyFill="1" applyBorder="1"/>
    <xf numFmtId="0" fontId="8" fillId="2" borderId="0" xfId="0" applyFont="1" applyFill="1" applyBorder="1"/>
    <xf numFmtId="3" fontId="4" fillId="2" borderId="0" xfId="0" applyNumberFormat="1" applyFont="1" applyFill="1" applyBorder="1"/>
    <xf numFmtId="9" fontId="4" fillId="0" borderId="0" xfId="0" applyNumberFormat="1" applyFont="1"/>
    <xf numFmtId="167" fontId="4" fillId="4" borderId="10" xfId="0" applyNumberFormat="1" applyFont="1" applyFill="1" applyBorder="1"/>
    <xf numFmtId="167" fontId="4" fillId="6" borderId="11" xfId="0" applyNumberFormat="1" applyFont="1" applyFill="1" applyBorder="1"/>
    <xf numFmtId="167" fontId="4" fillId="0" borderId="12" xfId="0" applyNumberFormat="1" applyFont="1" applyBorder="1"/>
    <xf numFmtId="0" fontId="4" fillId="10" borderId="6" xfId="0" applyFont="1" applyFill="1" applyBorder="1"/>
    <xf numFmtId="0" fontId="9" fillId="0" borderId="0" xfId="0" applyFont="1"/>
    <xf numFmtId="0" fontId="10" fillId="0" borderId="0" xfId="0" applyFont="1"/>
    <xf numFmtId="167" fontId="4" fillId="6" borderId="10" xfId="0" applyNumberFormat="1" applyFont="1" applyFill="1" applyBorder="1"/>
    <xf numFmtId="0" fontId="4" fillId="2" borderId="5" xfId="0" applyFont="1" applyFill="1" applyBorder="1"/>
    <xf numFmtId="167" fontId="4" fillId="0" borderId="13" xfId="0" applyNumberFormat="1" applyFont="1" applyBorder="1"/>
    <xf numFmtId="0" fontId="4" fillId="2" borderId="8" xfId="0" applyFont="1" applyFill="1" applyBorder="1"/>
    <xf numFmtId="167" fontId="4" fillId="0" borderId="0" xfId="0" applyNumberFormat="1" applyFont="1"/>
    <xf numFmtId="0" fontId="4" fillId="2" borderId="9" xfId="0" applyFont="1" applyFill="1" applyBorder="1"/>
    <xf numFmtId="0" fontId="4" fillId="2" borderId="14" xfId="0" applyFont="1" applyFill="1" applyBorder="1"/>
    <xf numFmtId="0" fontId="7" fillId="2" borderId="5" xfId="0" applyFont="1" applyFill="1" applyBorder="1"/>
    <xf numFmtId="0" fontId="4" fillId="2" borderId="15" xfId="0" applyFont="1" applyFill="1" applyBorder="1"/>
    <xf numFmtId="167" fontId="11" fillId="6" borderId="10" xfId="0" applyNumberFormat="1" applyFont="1" applyFill="1" applyBorder="1"/>
    <xf numFmtId="0" fontId="12" fillId="0" borderId="0" xfId="0" applyFont="1" applyAlignment="1">
      <alignment horizontal="left"/>
    </xf>
    <xf numFmtId="167" fontId="4" fillId="11" borderId="10" xfId="0" applyNumberFormat="1" applyFont="1" applyFill="1" applyBorder="1"/>
    <xf numFmtId="167" fontId="4" fillId="8" borderId="8" xfId="0" applyNumberFormat="1" applyFont="1" applyFill="1" applyBorder="1" applyAlignment="1">
      <alignment horizontal="right"/>
    </xf>
    <xf numFmtId="167" fontId="4" fillId="11" borderId="13" xfId="0" applyNumberFormat="1" applyFont="1" applyFill="1" applyBorder="1"/>
    <xf numFmtId="0" fontId="4" fillId="2" borderId="6" xfId="0" applyFont="1" applyFill="1" applyBorder="1"/>
    <xf numFmtId="0" fontId="10" fillId="0" borderId="0" xfId="0" applyFont="1" applyAlignment="1">
      <alignment horizontal="left"/>
    </xf>
    <xf numFmtId="167" fontId="4" fillId="5" borderId="14" xfId="0" applyNumberFormat="1" applyFont="1" applyFill="1" applyBorder="1"/>
    <xf numFmtId="0" fontId="13" fillId="0" borderId="0" xfId="0" applyFont="1" applyAlignment="1">
      <alignment horizontal="left"/>
    </xf>
    <xf numFmtId="0" fontId="2" fillId="2" borderId="9" xfId="0" applyFont="1" applyFill="1" applyBorder="1"/>
    <xf numFmtId="0" fontId="2" fillId="2" borderId="7" xfId="0" applyFont="1" applyFill="1" applyBorder="1"/>
    <xf numFmtId="167" fontId="4" fillId="12" borderId="10" xfId="0" applyNumberFormat="1" applyFont="1" applyFill="1" applyBorder="1"/>
    <xf numFmtId="0" fontId="2" fillId="0" borderId="0" xfId="0" applyFont="1"/>
    <xf numFmtId="0" fontId="4" fillId="2" borderId="3" xfId="0" applyFont="1" applyFill="1" applyBorder="1"/>
    <xf numFmtId="167" fontId="4" fillId="11" borderId="11" xfId="0" applyNumberFormat="1" applyFont="1" applyFill="1" applyBorder="1"/>
    <xf numFmtId="0" fontId="12" fillId="0" borderId="0" xfId="0" applyFont="1"/>
    <xf numFmtId="167" fontId="4" fillId="5" borderId="7" xfId="0" applyNumberFormat="1" applyFont="1" applyFill="1" applyBorder="1"/>
    <xf numFmtId="0" fontId="13" fillId="0" borderId="0" xfId="0" applyFont="1"/>
    <xf numFmtId="0" fontId="4" fillId="2" borderId="11" xfId="0" applyFont="1" applyFill="1" applyBorder="1"/>
    <xf numFmtId="167" fontId="4" fillId="5" borderId="10" xfId="0" applyNumberFormat="1" applyFont="1" applyFill="1" applyBorder="1"/>
    <xf numFmtId="167" fontId="4" fillId="2" borderId="8" xfId="0" applyNumberFormat="1" applyFont="1" applyFill="1" applyBorder="1"/>
    <xf numFmtId="167" fontId="4" fillId="5" borderId="8" xfId="0" applyNumberFormat="1" applyFont="1" applyFill="1" applyBorder="1"/>
    <xf numFmtId="167" fontId="4" fillId="2" borderId="0" xfId="0" applyNumberFormat="1" applyFont="1" applyFill="1" applyBorder="1"/>
    <xf numFmtId="167" fontId="4" fillId="12" borderId="2" xfId="0" applyNumberFormat="1" applyFont="1" applyFill="1" applyBorder="1"/>
    <xf numFmtId="166" fontId="4" fillId="2" borderId="0" xfId="0" applyNumberFormat="1" applyFont="1" applyFill="1" applyBorder="1"/>
    <xf numFmtId="167" fontId="4" fillId="5" borderId="6" xfId="0" applyNumberFormat="1" applyFont="1" applyFill="1" applyBorder="1"/>
    <xf numFmtId="167" fontId="4" fillId="13" borderId="10" xfId="0" applyNumberFormat="1" applyFont="1" applyFill="1" applyBorder="1"/>
    <xf numFmtId="0" fontId="6" fillId="0" borderId="0" xfId="0" applyFont="1"/>
    <xf numFmtId="0" fontId="14" fillId="0" borderId="0" xfId="0" applyFont="1"/>
    <xf numFmtId="0" fontId="4" fillId="3" borderId="0" xfId="0" applyFont="1" applyFill="1" applyBorder="1"/>
    <xf numFmtId="0" fontId="4" fillId="2" borderId="12" xfId="0" applyFont="1" applyFill="1" applyBorder="1"/>
    <xf numFmtId="167" fontId="2" fillId="6" borderId="0" xfId="0" applyNumberFormat="1" applyFont="1" applyFill="1" applyBorder="1"/>
    <xf numFmtId="167" fontId="4" fillId="0" borderId="10" xfId="0" applyNumberFormat="1" applyFont="1" applyBorder="1"/>
    <xf numFmtId="0" fontId="4" fillId="2" borderId="13" xfId="0" applyFont="1" applyFill="1" applyBorder="1"/>
    <xf numFmtId="167" fontId="4" fillId="6" borderId="0" xfId="0" applyNumberFormat="1" applyFont="1" applyFill="1" applyBorder="1"/>
    <xf numFmtId="167" fontId="4" fillId="0" borderId="15" xfId="0" applyNumberFormat="1" applyFont="1" applyBorder="1"/>
    <xf numFmtId="0" fontId="4" fillId="2" borderId="4" xfId="0" applyFont="1" applyFill="1" applyBorder="1"/>
    <xf numFmtId="167" fontId="4" fillId="13" borderId="11" xfId="0" applyNumberFormat="1" applyFont="1" applyFill="1" applyBorder="1"/>
    <xf numFmtId="0" fontId="4" fillId="2" borderId="7" xfId="0" applyFont="1" applyFill="1" applyBorder="1"/>
    <xf numFmtId="168" fontId="4" fillId="14" borderId="7" xfId="0" applyNumberFormat="1" applyFont="1" applyFill="1" applyBorder="1"/>
    <xf numFmtId="168" fontId="4" fillId="2" borderId="13" xfId="0" applyNumberFormat="1" applyFont="1" applyFill="1" applyBorder="1"/>
    <xf numFmtId="0" fontId="0" fillId="2" borderId="1" xfId="0" applyFont="1" applyFill="1" applyBorder="1" applyAlignment="1">
      <alignment wrapText="1"/>
    </xf>
    <xf numFmtId="0" fontId="4" fillId="2" borderId="0" xfId="0" applyFont="1" applyFill="1" applyBorder="1" applyAlignment="1">
      <alignment vertical="center"/>
    </xf>
    <xf numFmtId="0" fontId="15" fillId="2" borderId="14" xfId="0" applyFont="1" applyFill="1" applyBorder="1"/>
    <xf numFmtId="0" fontId="0" fillId="2" borderId="12" xfId="0" applyFont="1" applyFill="1" applyBorder="1"/>
    <xf numFmtId="0" fontId="0" fillId="2" borderId="15" xfId="0" applyFont="1" applyFill="1" applyBorder="1" applyAlignment="1">
      <alignment wrapText="1"/>
    </xf>
    <xf numFmtId="0" fontId="0" fillId="2" borderId="15" xfId="0" applyFont="1" applyFill="1" applyBorder="1"/>
    <xf numFmtId="0" fontId="16" fillId="2" borderId="15" xfId="0" applyFont="1" applyFill="1" applyBorder="1" applyAlignment="1">
      <alignment wrapText="1"/>
    </xf>
    <xf numFmtId="0" fontId="0" fillId="2" borderId="3" xfId="0" applyFont="1" applyFill="1" applyBorder="1"/>
    <xf numFmtId="0" fontId="0" fillId="2" borderId="5" xfId="0" applyFont="1" applyFill="1" applyBorder="1" applyAlignment="1">
      <alignment wrapText="1"/>
    </xf>
    <xf numFmtId="0" fontId="0" fillId="2" borderId="6" xfId="0" applyFont="1" applyFill="1" applyBorder="1"/>
    <xf numFmtId="0" fontId="0" fillId="2" borderId="0" xfId="0" applyFont="1" applyFill="1" applyBorder="1" applyAlignment="1">
      <alignment wrapText="1"/>
    </xf>
    <xf numFmtId="0" fontId="0" fillId="2" borderId="0" xfId="0" applyFont="1" applyFill="1" applyBorder="1"/>
    <xf numFmtId="0" fontId="0" fillId="2" borderId="13" xfId="0" applyFont="1" applyFill="1" applyBorder="1"/>
    <xf numFmtId="0" fontId="15" fillId="2" borderId="1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vertical="center"/>
    </xf>
    <xf numFmtId="0" fontId="2" fillId="2" borderId="14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2" fillId="2" borderId="15" xfId="0" applyFont="1" applyFill="1" applyBorder="1"/>
    <xf numFmtId="0" fontId="0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0" fillId="2" borderId="1" xfId="0" applyFont="1" applyFill="1" applyBorder="1"/>
    <xf numFmtId="167" fontId="4" fillId="2" borderId="0" xfId="0" applyNumberFormat="1" applyFont="1" applyFill="1" applyBorder="1" applyAlignment="1">
      <alignment horizontal="center"/>
    </xf>
    <xf numFmtId="167" fontId="4" fillId="2" borderId="13" xfId="0" applyNumberFormat="1" applyFont="1" applyFill="1" applyBorder="1" applyAlignment="1">
      <alignment horizontal="center"/>
    </xf>
    <xf numFmtId="0" fontId="0" fillId="2" borderId="6" xfId="0" applyFont="1" applyFill="1" applyBorder="1" applyAlignment="1">
      <alignment wrapText="1"/>
    </xf>
    <xf numFmtId="167" fontId="11" fillId="2" borderId="0" xfId="0" applyNumberFormat="1" applyFont="1" applyFill="1" applyBorder="1" applyAlignment="1">
      <alignment horizontal="center"/>
    </xf>
    <xf numFmtId="0" fontId="15" fillId="2" borderId="14" xfId="0" applyFont="1" applyFill="1" applyBorder="1" applyAlignment="1">
      <alignment wrapText="1"/>
    </xf>
    <xf numFmtId="0" fontId="4" fillId="2" borderId="6" xfId="0" applyFont="1" applyFill="1" applyBorder="1" applyAlignment="1">
      <alignment vertical="center"/>
    </xf>
    <xf numFmtId="167" fontId="4" fillId="2" borderId="4" xfId="0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1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68" fontId="0" fillId="8" borderId="1" xfId="0" applyNumberFormat="1" applyFont="1" applyFill="1" applyBorder="1"/>
    <xf numFmtId="0" fontId="4" fillId="2" borderId="10" xfId="0" applyFont="1" applyFill="1" applyBorder="1"/>
    <xf numFmtId="0" fontId="0" fillId="2" borderId="12" xfId="0" applyFont="1" applyFill="1" applyBorder="1" applyAlignment="1">
      <alignment wrapText="1"/>
    </xf>
    <xf numFmtId="0" fontId="0" fillId="2" borderId="13" xfId="0" applyFont="1" applyFill="1" applyBorder="1" applyAlignment="1">
      <alignment wrapText="1"/>
    </xf>
    <xf numFmtId="0" fontId="15" fillId="2" borderId="2" xfId="0" applyFont="1" applyFill="1" applyBorder="1" applyAlignment="1">
      <alignment vertical="center"/>
    </xf>
    <xf numFmtId="0" fontId="0" fillId="2" borderId="17" xfId="0" applyFont="1" applyFill="1" applyBorder="1" applyAlignment="1">
      <alignment wrapText="1"/>
    </xf>
    <xf numFmtId="167" fontId="11" fillId="2" borderId="4" xfId="0" applyNumberFormat="1" applyFont="1" applyFill="1" applyBorder="1" applyAlignment="1">
      <alignment horizontal="center"/>
    </xf>
    <xf numFmtId="0" fontId="4" fillId="2" borderId="18" xfId="0" applyFont="1" applyFill="1" applyBorder="1"/>
    <xf numFmtId="0" fontId="0" fillId="8" borderId="18" xfId="0" applyFont="1" applyFill="1" applyBorder="1" applyAlignment="1">
      <alignment wrapText="1"/>
    </xf>
    <xf numFmtId="0" fontId="0" fillId="2" borderId="19" xfId="0" applyFont="1" applyFill="1" applyBorder="1" applyAlignment="1">
      <alignment wrapText="1"/>
    </xf>
    <xf numFmtId="0" fontId="4" fillId="0" borderId="13" xfId="0" applyFont="1" applyBorder="1"/>
    <xf numFmtId="0" fontId="4" fillId="0" borderId="0" xfId="0" applyFont="1" applyAlignment="1">
      <alignment horizontal="center"/>
    </xf>
    <xf numFmtId="0" fontId="4" fillId="0" borderId="3" xfId="0" applyFont="1" applyBorder="1"/>
    <xf numFmtId="0" fontId="4" fillId="0" borderId="1" xfId="0" applyFont="1" applyBorder="1"/>
    <xf numFmtId="0" fontId="4" fillId="0" borderId="4" xfId="0" applyFont="1" applyBorder="1"/>
    <xf numFmtId="0" fontId="4" fillId="2" borderId="0" xfId="0" applyFont="1" applyFill="1" applyBorder="1" applyAlignment="1">
      <alignment wrapText="1"/>
    </xf>
    <xf numFmtId="0" fontId="2" fillId="2" borderId="14" xfId="0" applyFont="1" applyFill="1" applyBorder="1" applyAlignment="1">
      <alignment wrapText="1"/>
    </xf>
    <xf numFmtId="0" fontId="7" fillId="2" borderId="1" xfId="0" applyFont="1" applyFill="1" applyBorder="1"/>
    <xf numFmtId="165" fontId="4" fillId="2" borderId="0" xfId="0" applyNumberFormat="1" applyFont="1" applyFill="1" applyBorder="1" applyAlignment="1">
      <alignment horizontal="right"/>
    </xf>
    <xf numFmtId="167" fontId="4" fillId="2" borderId="15" xfId="0" applyNumberFormat="1" applyFont="1" applyFill="1" applyBorder="1" applyAlignment="1">
      <alignment vertical="center"/>
    </xf>
    <xf numFmtId="165" fontId="4" fillId="2" borderId="10" xfId="0" applyNumberFormat="1" applyFont="1" applyFill="1" applyBorder="1"/>
    <xf numFmtId="165" fontId="4" fillId="0" borderId="0" xfId="0" applyNumberFormat="1" applyFont="1" applyAlignment="1">
      <alignment horizontal="right"/>
    </xf>
    <xf numFmtId="0" fontId="11" fillId="2" borderId="15" xfId="0" applyFont="1" applyFill="1" applyBorder="1"/>
    <xf numFmtId="0" fontId="15" fillId="2" borderId="3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horizontal="right"/>
    </xf>
    <xf numFmtId="0" fontId="18" fillId="0" borderId="8" xfId="0" applyFont="1" applyBorder="1"/>
    <xf numFmtId="0" fontId="0" fillId="2" borderId="8" xfId="0" applyFont="1" applyFill="1" applyBorder="1"/>
    <xf numFmtId="0" fontId="4" fillId="0" borderId="8" xfId="0" applyFont="1" applyBorder="1"/>
    <xf numFmtId="168" fontId="0" fillId="0" borderId="8" xfId="0" applyNumberFormat="1" applyFont="1" applyBorder="1"/>
    <xf numFmtId="171" fontId="0" fillId="8" borderId="0" xfId="0" applyNumberFormat="1" applyFont="1" applyFill="1" applyBorder="1"/>
    <xf numFmtId="171" fontId="0" fillId="8" borderId="1" xfId="0" applyNumberFormat="1" applyFont="1" applyFill="1" applyBorder="1"/>
    <xf numFmtId="0" fontId="4" fillId="0" borderId="0" xfId="0" applyFont="1" applyAlignment="1">
      <alignment vertical="center"/>
    </xf>
    <xf numFmtId="0" fontId="0" fillId="0" borderId="0" xfId="0" applyFont="1"/>
    <xf numFmtId="168" fontId="0" fillId="0" borderId="0" xfId="0" applyNumberFormat="1" applyFont="1"/>
    <xf numFmtId="3" fontId="0" fillId="0" borderId="0" xfId="0" applyNumberFormat="1" applyFont="1"/>
    <xf numFmtId="0" fontId="19" fillId="2" borderId="0" xfId="0" applyFont="1" applyFill="1" applyBorder="1"/>
    <xf numFmtId="9" fontId="4" fillId="16" borderId="0" xfId="0" applyNumberFormat="1" applyFont="1" applyFill="1" applyBorder="1"/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wrapText="1"/>
    </xf>
    <xf numFmtId="0" fontId="0" fillId="7" borderId="8" xfId="0" applyFont="1" applyFill="1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15" borderId="8" xfId="0" applyFont="1" applyFill="1" applyBorder="1" applyAlignment="1">
      <alignment vertical="center"/>
    </xf>
    <xf numFmtId="172" fontId="0" fillId="15" borderId="8" xfId="0" applyNumberFormat="1" applyFont="1" applyFill="1" applyBorder="1" applyAlignment="1">
      <alignment vertical="center"/>
    </xf>
    <xf numFmtId="0" fontId="0" fillId="0" borderId="8" xfId="0" applyFont="1" applyBorder="1" applyAlignment="1">
      <alignment vertical="center"/>
    </xf>
    <xf numFmtId="173" fontId="0" fillId="0" borderId="8" xfId="0" applyNumberFormat="1" applyFont="1" applyBorder="1" applyAlignment="1">
      <alignment horizontal="right" vertical="center"/>
    </xf>
    <xf numFmtId="174" fontId="0" fillId="2" borderId="8" xfId="0" applyNumberFormat="1" applyFont="1" applyFill="1" applyBorder="1" applyAlignment="1">
      <alignment vertical="center"/>
    </xf>
    <xf numFmtId="172" fontId="0" fillId="0" borderId="8" xfId="0" applyNumberFormat="1" applyFont="1" applyBorder="1" applyAlignment="1">
      <alignment vertical="center"/>
    </xf>
    <xf numFmtId="0" fontId="0" fillId="0" borderId="8" xfId="0" applyFont="1" applyBorder="1" applyAlignment="1">
      <alignment horizontal="right" vertical="center"/>
    </xf>
    <xf numFmtId="174" fontId="0" fillId="0" borderId="8" xfId="0" applyNumberFormat="1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174" fontId="15" fillId="0" borderId="8" xfId="0" applyNumberFormat="1" applyFont="1" applyBorder="1" applyAlignment="1">
      <alignment vertical="center"/>
    </xf>
    <xf numFmtId="172" fontId="15" fillId="0" borderId="8" xfId="0" applyNumberFormat="1" applyFont="1" applyBorder="1" applyAlignment="1">
      <alignment vertical="center"/>
    </xf>
    <xf numFmtId="0" fontId="0" fillId="0" borderId="5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15" fillId="0" borderId="0" xfId="0" applyFont="1" applyAlignment="1">
      <alignment vertical="center"/>
    </xf>
    <xf numFmtId="0" fontId="18" fillId="0" borderId="0" xfId="0" applyFont="1" applyAlignment="1">
      <alignment wrapText="1"/>
    </xf>
    <xf numFmtId="0" fontId="18" fillId="0" borderId="0" xfId="0" applyFont="1"/>
    <xf numFmtId="165" fontId="4" fillId="8" borderId="8" xfId="0" applyNumberFormat="1" applyFont="1" applyFill="1" applyBorder="1"/>
    <xf numFmtId="175" fontId="4" fillId="0" borderId="0" xfId="0" applyNumberFormat="1" applyFont="1"/>
    <xf numFmtId="0" fontId="4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5" fillId="0" borderId="0" xfId="0" applyFont="1" applyAlignment="1"/>
    <xf numFmtId="0" fontId="21" fillId="0" borderId="0" xfId="0" applyFont="1" applyAlignment="1">
      <alignment wrapText="1"/>
    </xf>
    <xf numFmtId="14" fontId="15" fillId="0" borderId="0" xfId="0" applyNumberFormat="1" applyFont="1" applyAlignment="1"/>
    <xf numFmtId="0" fontId="21" fillId="0" borderId="0" xfId="0" applyFont="1" applyAlignment="1"/>
    <xf numFmtId="0" fontId="0" fillId="0" borderId="0" xfId="0" applyFont="1" applyAlignment="1"/>
    <xf numFmtId="167" fontId="28" fillId="6" borderId="10" xfId="0" applyNumberFormat="1" applyFont="1" applyFill="1" applyBorder="1"/>
    <xf numFmtId="168" fontId="0" fillId="8" borderId="0" xfId="0" applyNumberFormat="1" applyFont="1" applyFill="1" applyBorder="1"/>
    <xf numFmtId="0" fontId="0" fillId="8" borderId="0" xfId="0" applyFont="1" applyFill="1" applyBorder="1" applyAlignment="1">
      <alignment wrapText="1"/>
    </xf>
    <xf numFmtId="165" fontId="4" fillId="10" borderId="0" xfId="0" applyNumberFormat="1" applyFont="1" applyFill="1" applyBorder="1"/>
    <xf numFmtId="165" fontId="4" fillId="10" borderId="37" xfId="0" applyNumberFormat="1" applyFont="1" applyFill="1" applyBorder="1"/>
    <xf numFmtId="0" fontId="4" fillId="2" borderId="34" xfId="0" applyFont="1" applyFill="1" applyBorder="1"/>
    <xf numFmtId="167" fontId="4" fillId="5" borderId="4" xfId="0" applyNumberFormat="1" applyFont="1" applyFill="1" applyBorder="1"/>
    <xf numFmtId="175" fontId="4" fillId="10" borderId="41" xfId="0" applyNumberFormat="1" applyFont="1" applyFill="1" applyBorder="1"/>
    <xf numFmtId="175" fontId="4" fillId="10" borderId="40" xfId="0" applyNumberFormat="1" applyFont="1" applyFill="1" applyBorder="1"/>
    <xf numFmtId="175" fontId="4" fillId="10" borderId="34" xfId="0" applyNumberFormat="1" applyFont="1" applyFill="1" applyBorder="1"/>
    <xf numFmtId="175" fontId="4" fillId="10" borderId="42" xfId="0" applyNumberFormat="1" applyFont="1" applyFill="1" applyBorder="1"/>
    <xf numFmtId="0" fontId="2" fillId="2" borderId="43" xfId="0" applyFont="1" applyFill="1" applyBorder="1"/>
    <xf numFmtId="0" fontId="2" fillId="2" borderId="44" xfId="0" applyFont="1" applyFill="1" applyBorder="1"/>
    <xf numFmtId="0" fontId="2" fillId="2" borderId="45" xfId="0" applyFont="1" applyFill="1" applyBorder="1"/>
    <xf numFmtId="0" fontId="15" fillId="2" borderId="0" xfId="0" applyFont="1" applyFill="1" applyBorder="1" applyAlignment="1">
      <alignment vertical="center"/>
    </xf>
    <xf numFmtId="0" fontId="4" fillId="2" borderId="40" xfId="0" applyFont="1" applyFill="1" applyBorder="1" applyAlignment="1">
      <alignment vertical="center"/>
    </xf>
    <xf numFmtId="0" fontId="4" fillId="2" borderId="41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167" fontId="4" fillId="2" borderId="40" xfId="0" applyNumberFormat="1" applyFont="1" applyFill="1" applyBorder="1" applyAlignment="1">
      <alignment vertical="center"/>
    </xf>
    <xf numFmtId="167" fontId="4" fillId="2" borderId="41" xfId="0" applyNumberFormat="1" applyFont="1" applyFill="1" applyBorder="1" applyAlignment="1">
      <alignment vertical="center"/>
    </xf>
    <xf numFmtId="167" fontId="4" fillId="2" borderId="42" xfId="0" applyNumberFormat="1" applyFont="1" applyFill="1" applyBorder="1" applyAlignment="1">
      <alignment vertical="center"/>
    </xf>
    <xf numFmtId="0" fontId="4" fillId="2" borderId="36" xfId="0" applyFont="1" applyFill="1" applyBorder="1" applyAlignment="1">
      <alignment vertical="center"/>
    </xf>
    <xf numFmtId="167" fontId="4" fillId="2" borderId="46" xfId="0" applyNumberFormat="1" applyFont="1" applyFill="1" applyBorder="1" applyAlignment="1">
      <alignment vertical="center"/>
    </xf>
    <xf numFmtId="0" fontId="4" fillId="2" borderId="38" xfId="0" applyFont="1" applyFill="1" applyBorder="1" applyAlignment="1">
      <alignment vertical="center"/>
    </xf>
    <xf numFmtId="167" fontId="4" fillId="2" borderId="47" xfId="0" applyNumberFormat="1" applyFont="1" applyFill="1" applyBorder="1" applyAlignment="1">
      <alignment vertical="center"/>
    </xf>
    <xf numFmtId="175" fontId="2" fillId="10" borderId="41" xfId="0" applyNumberFormat="1" applyFont="1" applyFill="1" applyBorder="1"/>
    <xf numFmtId="175" fontId="2" fillId="10" borderId="34" xfId="0" applyNumberFormat="1" applyFont="1" applyFill="1" applyBorder="1"/>
    <xf numFmtId="175" fontId="4" fillId="10" borderId="35" xfId="0" applyNumberFormat="1" applyFont="1" applyFill="1" applyBorder="1"/>
    <xf numFmtId="175" fontId="4" fillId="10" borderId="32" xfId="0" applyNumberFormat="1" applyFont="1" applyFill="1" applyBorder="1"/>
    <xf numFmtId="165" fontId="2" fillId="18" borderId="0" xfId="0" applyNumberFormat="1" applyFont="1" applyFill="1" applyBorder="1"/>
    <xf numFmtId="0" fontId="4" fillId="3" borderId="13" xfId="0" applyFont="1" applyFill="1" applyBorder="1"/>
    <xf numFmtId="0" fontId="4" fillId="2" borderId="40" xfId="0" applyFont="1" applyFill="1" applyBorder="1"/>
    <xf numFmtId="0" fontId="4" fillId="3" borderId="35" xfId="0" applyFont="1" applyFill="1" applyBorder="1"/>
    <xf numFmtId="0" fontId="4" fillId="3" borderId="34" xfId="0" applyFont="1" applyFill="1" applyBorder="1"/>
    <xf numFmtId="0" fontId="4" fillId="5" borderId="48" xfId="0" applyFont="1" applyFill="1" applyBorder="1"/>
    <xf numFmtId="0" fontId="4" fillId="2" borderId="35" xfId="0" applyFont="1" applyFill="1" applyBorder="1"/>
    <xf numFmtId="0" fontId="4" fillId="3" borderId="48" xfId="0" applyFont="1" applyFill="1" applyBorder="1"/>
    <xf numFmtId="0" fontId="0" fillId="0" borderId="0" xfId="0" applyFont="1" applyAlignment="1"/>
    <xf numFmtId="0" fontId="4" fillId="2" borderId="0" xfId="0" applyFont="1" applyFill="1" applyBorder="1"/>
    <xf numFmtId="0" fontId="0" fillId="0" borderId="0" xfId="0" applyFont="1" applyAlignment="1"/>
    <xf numFmtId="0" fontId="5" fillId="2" borderId="15" xfId="0" applyFont="1" applyFill="1" applyBorder="1"/>
    <xf numFmtId="0" fontId="5" fillId="0" borderId="8" xfId="0" applyFont="1" applyBorder="1"/>
    <xf numFmtId="170" fontId="5" fillId="0" borderId="8" xfId="0" applyNumberFormat="1" applyFont="1" applyBorder="1"/>
    <xf numFmtId="0" fontId="5" fillId="0" borderId="0" xfId="0" applyFont="1"/>
    <xf numFmtId="0" fontId="5" fillId="5" borderId="0" xfId="0" applyFont="1" applyFill="1" applyBorder="1"/>
    <xf numFmtId="0" fontId="5" fillId="7" borderId="8" xfId="0" applyFont="1" applyFill="1" applyBorder="1"/>
    <xf numFmtId="0" fontId="5" fillId="7" borderId="8" xfId="0" applyFont="1" applyFill="1" applyBorder="1" applyAlignment="1">
      <alignment wrapText="1"/>
    </xf>
    <xf numFmtId="0" fontId="5" fillId="2" borderId="8" xfId="0" applyFont="1" applyFill="1" applyBorder="1"/>
    <xf numFmtId="168" fontId="5" fillId="0" borderId="8" xfId="0" applyNumberFormat="1" applyFont="1" applyBorder="1"/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5" fillId="0" borderId="23" xfId="0" applyFont="1" applyBorder="1"/>
    <xf numFmtId="0" fontId="5" fillId="0" borderId="24" xfId="0" applyFont="1" applyBorder="1"/>
    <xf numFmtId="0" fontId="5" fillId="0" borderId="9" xfId="0" applyFont="1" applyBorder="1"/>
    <xf numFmtId="0" fontId="5" fillId="0" borderId="25" xfId="0" applyFont="1" applyBorder="1"/>
    <xf numFmtId="0" fontId="5" fillId="0" borderId="26" xfId="0" applyFont="1" applyBorder="1"/>
    <xf numFmtId="0" fontId="5" fillId="0" borderId="27" xfId="0" applyFont="1" applyBorder="1"/>
    <xf numFmtId="0" fontId="5" fillId="0" borderId="28" xfId="0" applyFont="1" applyBorder="1"/>
    <xf numFmtId="0" fontId="5" fillId="0" borderId="29" xfId="0" applyFont="1" applyBorder="1"/>
    <xf numFmtId="0" fontId="5" fillId="0" borderId="30" xfId="0" applyFont="1" applyBorder="1"/>
    <xf numFmtId="0" fontId="5" fillId="0" borderId="31" xfId="0" applyFont="1" applyBorder="1"/>
    <xf numFmtId="0" fontId="5" fillId="7" borderId="0" xfId="0" applyFont="1" applyFill="1" applyBorder="1"/>
    <xf numFmtId="0" fontId="5" fillId="7" borderId="0" xfId="0" applyFont="1" applyFill="1" applyBorder="1" applyAlignment="1">
      <alignment wrapText="1"/>
    </xf>
    <xf numFmtId="9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3" fontId="5" fillId="0" borderId="8" xfId="0" applyNumberFormat="1" applyFont="1" applyBorder="1"/>
    <xf numFmtId="0" fontId="5" fillId="0" borderId="8" xfId="0" applyFont="1" applyBorder="1" applyAlignment="1">
      <alignment wrapText="1"/>
    </xf>
    <xf numFmtId="1" fontId="5" fillId="0" borderId="8" xfId="0" applyNumberFormat="1" applyFont="1" applyBorder="1"/>
    <xf numFmtId="1" fontId="5" fillId="0" borderId="0" xfId="0" applyNumberFormat="1" applyFont="1"/>
    <xf numFmtId="0" fontId="5" fillId="9" borderId="0" xfId="0" applyFont="1" applyFill="1" applyBorder="1"/>
    <xf numFmtId="0" fontId="0" fillId="0" borderId="0" xfId="0" applyFont="1" applyAlignment="1"/>
    <xf numFmtId="174" fontId="0" fillId="0" borderId="8" xfId="0" applyNumberFormat="1" applyFont="1" applyFill="1" applyBorder="1" applyAlignment="1">
      <alignment vertical="center"/>
    </xf>
    <xf numFmtId="174" fontId="15" fillId="0" borderId="8" xfId="0" applyNumberFormat="1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4" fontId="4" fillId="0" borderId="0" xfId="0" applyNumberFormat="1" applyFont="1" applyFill="1" applyBorder="1"/>
    <xf numFmtId="0" fontId="4" fillId="0" borderId="0" xfId="0" applyFont="1" applyFill="1" applyBorder="1"/>
    <xf numFmtId="0" fontId="21" fillId="2" borderId="15" xfId="0" applyFont="1" applyFill="1" applyBorder="1"/>
    <xf numFmtId="175" fontId="4" fillId="19" borderId="41" xfId="0" applyNumberFormat="1" applyFont="1" applyFill="1" applyBorder="1"/>
    <xf numFmtId="175" fontId="4" fillId="10" borderId="50" xfId="0" applyNumberFormat="1" applyFont="1" applyFill="1" applyBorder="1"/>
    <xf numFmtId="165" fontId="11" fillId="20" borderId="0" xfId="0" applyNumberFormat="1" applyFont="1" applyFill="1" applyBorder="1" applyAlignment="1">
      <alignment horizontal="right"/>
    </xf>
    <xf numFmtId="165" fontId="4" fillId="20" borderId="0" xfId="0" applyNumberFormat="1" applyFont="1" applyFill="1" applyBorder="1" applyAlignment="1">
      <alignment horizontal="right"/>
    </xf>
    <xf numFmtId="165" fontId="4" fillId="20" borderId="0" xfId="0" applyNumberFormat="1" applyFont="1" applyFill="1" applyBorder="1"/>
    <xf numFmtId="165" fontId="4" fillId="21" borderId="0" xfId="0" applyNumberFormat="1" applyFont="1" applyFill="1" applyBorder="1" applyAlignment="1">
      <alignment horizontal="right"/>
    </xf>
    <xf numFmtId="165" fontId="4" fillId="21" borderId="0" xfId="0" applyNumberFormat="1" applyFont="1" applyFill="1" applyBorder="1"/>
    <xf numFmtId="165" fontId="4" fillId="22" borderId="0" xfId="0" applyNumberFormat="1" applyFont="1" applyFill="1" applyBorder="1"/>
    <xf numFmtId="0" fontId="0" fillId="0" borderId="0" xfId="0" applyFont="1" applyAlignment="1"/>
    <xf numFmtId="177" fontId="4" fillId="10" borderId="48" xfId="0" applyNumberFormat="1" applyFont="1" applyFill="1" applyBorder="1"/>
    <xf numFmtId="0" fontId="0" fillId="0" borderId="0" xfId="0" applyFont="1" applyAlignment="1"/>
    <xf numFmtId="0" fontId="0" fillId="0" borderId="0" xfId="0" applyFont="1" applyAlignment="1"/>
    <xf numFmtId="0" fontId="4" fillId="2" borderId="41" xfId="0" applyFont="1" applyFill="1" applyBorder="1"/>
    <xf numFmtId="165" fontId="4" fillId="2" borderId="51" xfId="0" applyNumberFormat="1" applyFont="1" applyFill="1" applyBorder="1"/>
    <xf numFmtId="165" fontId="4" fillId="2" borderId="41" xfId="0" applyNumberFormat="1" applyFont="1" applyFill="1" applyBorder="1"/>
    <xf numFmtId="165" fontId="11" fillId="2" borderId="41" xfId="0" applyNumberFormat="1" applyFont="1" applyFill="1" applyBorder="1"/>
    <xf numFmtId="165" fontId="4" fillId="2" borderId="41" xfId="0" applyNumberFormat="1" applyFont="1" applyFill="1" applyBorder="1" applyAlignment="1">
      <alignment horizontal="right"/>
    </xf>
    <xf numFmtId="177" fontId="4" fillId="10" borderId="34" xfId="0" applyNumberFormat="1" applyFont="1" applyFill="1" applyBorder="1"/>
    <xf numFmtId="165" fontId="4" fillId="23" borderId="0" xfId="0" applyNumberFormat="1" applyFont="1" applyFill="1" applyBorder="1"/>
    <xf numFmtId="165" fontId="4" fillId="24" borderId="0" xfId="0" applyNumberFormat="1" applyFont="1" applyFill="1" applyBorder="1"/>
    <xf numFmtId="165" fontId="4" fillId="24" borderId="0" xfId="0" applyNumberFormat="1" applyFont="1" applyFill="1" applyBorder="1" applyAlignment="1">
      <alignment horizontal="right"/>
    </xf>
    <xf numFmtId="0" fontId="7" fillId="2" borderId="0" xfId="0" applyFont="1" applyFill="1" applyBorder="1"/>
    <xf numFmtId="0" fontId="0" fillId="0" borderId="0" xfId="0" applyFont="1" applyAlignment="1"/>
    <xf numFmtId="0" fontId="0" fillId="0" borderId="0" xfId="0" applyFont="1" applyAlignment="1"/>
    <xf numFmtId="176" fontId="4" fillId="11" borderId="10" xfId="12" applyNumberFormat="1" applyFont="1" applyFill="1" applyBorder="1"/>
    <xf numFmtId="0" fontId="13" fillId="0" borderId="0" xfId="0" applyFont="1" applyAlignment="1"/>
    <xf numFmtId="175" fontId="4" fillId="26" borderId="41" xfId="0" applyNumberFormat="1" applyFont="1" applyFill="1" applyBorder="1"/>
    <xf numFmtId="167" fontId="2" fillId="6" borderId="10" xfId="0" applyNumberFormat="1" applyFont="1" applyFill="1" applyBorder="1"/>
    <xf numFmtId="0" fontId="0" fillId="25" borderId="0" xfId="0" applyFill="1"/>
    <xf numFmtId="0" fontId="0" fillId="0" borderId="0" xfId="0"/>
    <xf numFmtId="3" fontId="4" fillId="0" borderId="0" xfId="0" applyNumberFormat="1" applyFont="1" applyFill="1" applyBorder="1"/>
    <xf numFmtId="0" fontId="0" fillId="0" borderId="0" xfId="0" applyFont="1" applyAlignment="1"/>
    <xf numFmtId="0" fontId="21" fillId="2" borderId="15" xfId="0" applyFont="1" applyFill="1" applyBorder="1" applyAlignment="1">
      <alignment wrapText="1"/>
    </xf>
    <xf numFmtId="0" fontId="21" fillId="2" borderId="1" xfId="0" applyFont="1" applyFill="1" applyBorder="1"/>
    <xf numFmtId="178" fontId="4" fillId="2" borderId="15" xfId="18" applyNumberFormat="1" applyFont="1" applyFill="1" applyBorder="1"/>
    <xf numFmtId="0" fontId="0" fillId="0" borderId="0" xfId="0" applyFont="1" applyAlignment="1"/>
    <xf numFmtId="0" fontId="0" fillId="0" borderId="0" xfId="0" applyFont="1" applyAlignment="1"/>
    <xf numFmtId="176" fontId="4" fillId="2" borderId="0" xfId="0" applyNumberFormat="1" applyFont="1" applyFill="1" applyBorder="1"/>
    <xf numFmtId="0" fontId="8" fillId="0" borderId="0" xfId="0" applyFont="1"/>
    <xf numFmtId="0" fontId="31" fillId="0" borderId="0" xfId="0" applyFont="1"/>
    <xf numFmtId="167" fontId="8" fillId="6" borderId="10" xfId="0" applyNumberFormat="1" applyFont="1" applyFill="1" applyBorder="1"/>
    <xf numFmtId="167" fontId="8" fillId="4" borderId="10" xfId="0" applyNumberFormat="1" applyFont="1" applyFill="1" applyBorder="1"/>
    <xf numFmtId="0" fontId="0" fillId="0" borderId="0" xfId="0" applyFont="1" applyAlignment="1"/>
    <xf numFmtId="0" fontId="21" fillId="0" borderId="8" xfId="0" applyFont="1" applyBorder="1" applyAlignment="1">
      <alignment horizontal="right" vertical="center"/>
    </xf>
    <xf numFmtId="9" fontId="21" fillId="15" borderId="8" xfId="0" applyNumberFormat="1" applyFont="1" applyFill="1" applyBorder="1" applyAlignment="1">
      <alignment vertical="center"/>
    </xf>
    <xf numFmtId="172" fontId="21" fillId="15" borderId="8" xfId="0" applyNumberFormat="1" applyFont="1" applyFill="1" applyBorder="1" applyAlignment="1">
      <alignment vertical="center"/>
    </xf>
    <xf numFmtId="167" fontId="4" fillId="30" borderId="10" xfId="0" applyNumberFormat="1" applyFont="1" applyFill="1" applyBorder="1"/>
    <xf numFmtId="167" fontId="4" fillId="28" borderId="10" xfId="0" applyNumberFormat="1" applyFont="1" applyFill="1" applyBorder="1"/>
    <xf numFmtId="167" fontId="4" fillId="29" borderId="10" xfId="0" applyNumberFormat="1" applyFont="1" applyFill="1" applyBorder="1"/>
    <xf numFmtId="167" fontId="4" fillId="6" borderId="10" xfId="13" applyNumberFormat="1" applyFont="1" applyFill="1" applyBorder="1"/>
    <xf numFmtId="167" fontId="4" fillId="6" borderId="10" xfId="13" applyNumberFormat="1" applyFont="1" applyFill="1" applyBorder="1"/>
    <xf numFmtId="167" fontId="4" fillId="12" borderId="10" xfId="13" applyNumberFormat="1" applyFont="1" applyFill="1" applyBorder="1"/>
    <xf numFmtId="167" fontId="4" fillId="13" borderId="10" xfId="13" applyNumberFormat="1" applyFont="1" applyFill="1" applyBorder="1"/>
    <xf numFmtId="167" fontId="4" fillId="6" borderId="10" xfId="13" applyNumberFormat="1" applyFont="1" applyFill="1" applyBorder="1"/>
    <xf numFmtId="167" fontId="4" fillId="6" borderId="10" xfId="13" applyNumberFormat="1" applyFont="1" applyFill="1" applyBorder="1"/>
    <xf numFmtId="167" fontId="4" fillId="11" borderId="11" xfId="13" applyNumberFormat="1" applyFont="1" applyFill="1" applyBorder="1"/>
    <xf numFmtId="167" fontId="4" fillId="13" borderId="11" xfId="13" applyNumberFormat="1" applyFont="1" applyFill="1" applyBorder="1"/>
    <xf numFmtId="0" fontId="2" fillId="0" borderId="1" xfId="0" applyFont="1" applyFill="1" applyBorder="1"/>
    <xf numFmtId="0" fontId="2" fillId="0" borderId="5" xfId="0" applyFont="1" applyFill="1" applyBorder="1"/>
    <xf numFmtId="3" fontId="4" fillId="0" borderId="6" xfId="0" applyNumberFormat="1" applyFont="1" applyFill="1" applyBorder="1"/>
    <xf numFmtId="3" fontId="4" fillId="0" borderId="5" xfId="0" applyNumberFormat="1" applyFont="1" applyFill="1" applyBorder="1"/>
    <xf numFmtId="0" fontId="0" fillId="0" borderId="0" xfId="0" applyFont="1" applyFill="1" applyAlignment="1"/>
    <xf numFmtId="3" fontId="4" fillId="0" borderId="40" xfId="0" applyNumberFormat="1" applyFont="1" applyFill="1" applyBorder="1"/>
    <xf numFmtId="3" fontId="4" fillId="0" borderId="42" xfId="0" applyNumberFormat="1" applyFont="1" applyFill="1" applyBorder="1"/>
    <xf numFmtId="0" fontId="11" fillId="0" borderId="0" xfId="0" applyFont="1" applyFill="1" applyBorder="1"/>
    <xf numFmtId="0" fontId="10" fillId="0" borderId="0" xfId="0" applyFont="1" applyFill="1" applyAlignment="1">
      <alignment horizontal="left"/>
    </xf>
    <xf numFmtId="0" fontId="10" fillId="0" borderId="0" xfId="13" applyFont="1" applyFill="1" applyAlignment="1">
      <alignment horizontal="left"/>
    </xf>
    <xf numFmtId="0" fontId="4" fillId="0" borderId="5" xfId="0" applyFont="1" applyFill="1" applyBorder="1"/>
    <xf numFmtId="0" fontId="13" fillId="0" borderId="0" xfId="0" applyFont="1" applyFill="1" applyAlignment="1"/>
    <xf numFmtId="0" fontId="24" fillId="0" borderId="0" xfId="11" applyFill="1"/>
    <xf numFmtId="0" fontId="10" fillId="0" borderId="0" xfId="0" applyFont="1" applyFill="1"/>
    <xf numFmtId="0" fontId="4" fillId="0" borderId="1" xfId="0" applyFont="1" applyFill="1" applyBorder="1"/>
    <xf numFmtId="0" fontId="2" fillId="0" borderId="0" xfId="0" applyFont="1" applyFill="1" applyBorder="1"/>
    <xf numFmtId="0" fontId="9" fillId="0" borderId="0" xfId="0" applyFont="1" applyFill="1"/>
    <xf numFmtId="0" fontId="9" fillId="0" borderId="0" xfId="13" applyFont="1" applyFill="1"/>
    <xf numFmtId="0" fontId="14" fillId="0" borderId="0" xfId="0" applyFont="1" applyFill="1"/>
    <xf numFmtId="0" fontId="2" fillId="0" borderId="49" xfId="0" applyFont="1" applyFill="1" applyBorder="1"/>
    <xf numFmtId="176" fontId="4" fillId="31" borderId="0" xfId="0" applyNumberFormat="1" applyFont="1" applyFill="1" applyBorder="1"/>
    <xf numFmtId="0" fontId="4" fillId="31" borderId="0" xfId="0" applyFont="1" applyFill="1" applyBorder="1"/>
    <xf numFmtId="0" fontId="0" fillId="27" borderId="0" xfId="0" applyFont="1" applyFill="1" applyAlignment="1"/>
    <xf numFmtId="167" fontId="4" fillId="0" borderId="0" xfId="0" applyNumberFormat="1" applyFont="1" applyBorder="1"/>
    <xf numFmtId="0" fontId="4" fillId="0" borderId="6" xfId="0" applyFont="1" applyFill="1" applyBorder="1"/>
    <xf numFmtId="3" fontId="4" fillId="0" borderId="41" xfId="0" applyNumberFormat="1" applyFont="1" applyFill="1" applyBorder="1"/>
    <xf numFmtId="0" fontId="4" fillId="0" borderId="36" xfId="0" applyFont="1" applyFill="1" applyBorder="1"/>
    <xf numFmtId="0" fontId="4" fillId="0" borderId="37" xfId="0" applyFont="1" applyFill="1" applyBorder="1"/>
    <xf numFmtId="0" fontId="4" fillId="0" borderId="52" xfId="0" applyFont="1" applyFill="1" applyBorder="1"/>
    <xf numFmtId="0" fontId="4" fillId="0" borderId="39" xfId="0" applyFont="1" applyFill="1" applyBorder="1"/>
    <xf numFmtId="0" fontId="11" fillId="4" borderId="8" xfId="0" applyFont="1" applyFill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Border="1" applyAlignment="1"/>
    <xf numFmtId="0" fontId="17" fillId="3" borderId="15" xfId="0" applyFont="1" applyFill="1" applyBorder="1" applyAlignment="1">
      <alignment horizontal="center" vertical="center" wrapText="1"/>
    </xf>
    <xf numFmtId="0" fontId="0" fillId="0" borderId="0" xfId="0" applyFont="1" applyAlignment="1"/>
    <xf numFmtId="169" fontId="0" fillId="34" borderId="13" xfId="0" applyNumberFormat="1" applyFont="1" applyFill="1" applyBorder="1"/>
    <xf numFmtId="169" fontId="0" fillId="34" borderId="4" xfId="0" applyNumberFormat="1" applyFont="1" applyFill="1" applyBorder="1"/>
    <xf numFmtId="175" fontId="11" fillId="34" borderId="13" xfId="0" applyNumberFormat="1" applyFont="1" applyFill="1" applyBorder="1"/>
    <xf numFmtId="175" fontId="11" fillId="34" borderId="0" xfId="0" applyNumberFormat="1" applyFont="1" applyFill="1" applyBorder="1"/>
    <xf numFmtId="165" fontId="4" fillId="35" borderId="0" xfId="0" applyNumberFormat="1" applyFont="1" applyFill="1" applyBorder="1"/>
    <xf numFmtId="0" fontId="0" fillId="0" borderId="0" xfId="0" applyFont="1" applyAlignment="1"/>
    <xf numFmtId="0" fontId="13" fillId="0" borderId="0" xfId="0" applyFont="1" applyFill="1" applyAlignment="1">
      <alignment horizontal="left" wrapText="1"/>
    </xf>
    <xf numFmtId="175" fontId="4" fillId="35" borderId="41" xfId="0" applyNumberFormat="1" applyFont="1" applyFill="1" applyBorder="1"/>
    <xf numFmtId="175" fontId="4" fillId="3" borderId="34" xfId="0" applyNumberFormat="1" applyFont="1" applyFill="1" applyBorder="1"/>
    <xf numFmtId="0" fontId="15" fillId="2" borderId="54" xfId="0" applyFont="1" applyFill="1" applyBorder="1"/>
    <xf numFmtId="0" fontId="5" fillId="0" borderId="55" xfId="0" applyFont="1" applyBorder="1"/>
    <xf numFmtId="0" fontId="0" fillId="0" borderId="55" xfId="0" applyFont="1" applyBorder="1" applyAlignment="1"/>
    <xf numFmtId="3" fontId="0" fillId="0" borderId="55" xfId="0" applyNumberFormat="1" applyFont="1" applyBorder="1"/>
    <xf numFmtId="0" fontId="5" fillId="0" borderId="56" xfId="0" applyFont="1" applyBorder="1"/>
    <xf numFmtId="0" fontId="0" fillId="2" borderId="57" xfId="0" applyFont="1" applyFill="1" applyBorder="1"/>
    <xf numFmtId="0" fontId="5" fillId="0" borderId="0" xfId="0" applyFont="1" applyBorder="1"/>
    <xf numFmtId="0" fontId="0" fillId="0" borderId="0" xfId="0" applyFont="1" applyBorder="1" applyAlignment="1"/>
    <xf numFmtId="3" fontId="0" fillId="0" borderId="0" xfId="0" applyNumberFormat="1" applyFont="1" applyBorder="1"/>
    <xf numFmtId="9" fontId="5" fillId="0" borderId="0" xfId="0" applyNumberFormat="1" applyFont="1" applyBorder="1"/>
    <xf numFmtId="0" fontId="5" fillId="0" borderId="58" xfId="0" applyFont="1" applyBorder="1"/>
    <xf numFmtId="0" fontId="0" fillId="2" borderId="59" xfId="0" applyFont="1" applyFill="1" applyBorder="1"/>
    <xf numFmtId="0" fontId="5" fillId="0" borderId="60" xfId="0" applyFont="1" applyBorder="1"/>
    <xf numFmtId="0" fontId="0" fillId="0" borderId="60" xfId="0" applyFont="1" applyBorder="1" applyAlignment="1"/>
    <xf numFmtId="3" fontId="5" fillId="0" borderId="61" xfId="0" applyNumberFormat="1" applyFont="1" applyBorder="1"/>
    <xf numFmtId="0" fontId="5" fillId="0" borderId="62" xfId="0" applyFont="1" applyBorder="1"/>
    <xf numFmtId="0" fontId="0" fillId="2" borderId="54" xfId="0" applyFont="1" applyFill="1" applyBorder="1"/>
    <xf numFmtId="9" fontId="4" fillId="16" borderId="55" xfId="0" applyNumberFormat="1" applyFont="1" applyFill="1" applyBorder="1"/>
    <xf numFmtId="3" fontId="5" fillId="0" borderId="55" xfId="0" applyNumberFormat="1" applyFont="1" applyBorder="1"/>
    <xf numFmtId="9" fontId="5" fillId="0" borderId="55" xfId="0" applyNumberFormat="1" applyFont="1" applyBorder="1"/>
    <xf numFmtId="3" fontId="5" fillId="0" borderId="0" xfId="0" applyNumberFormat="1" applyFont="1" applyBorder="1"/>
    <xf numFmtId="9" fontId="5" fillId="0" borderId="58" xfId="0" applyNumberFormat="1" applyFont="1" applyBorder="1"/>
    <xf numFmtId="0" fontId="5" fillId="0" borderId="59" xfId="0" applyFont="1" applyBorder="1"/>
    <xf numFmtId="9" fontId="4" fillId="16" borderId="60" xfId="0" applyNumberFormat="1" applyFont="1" applyFill="1" applyBorder="1"/>
    <xf numFmtId="9" fontId="5" fillId="0" borderId="60" xfId="0" applyNumberFormat="1" applyFont="1" applyBorder="1"/>
    <xf numFmtId="0" fontId="5" fillId="0" borderId="63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16" xfId="0" applyFont="1" applyBorder="1"/>
    <xf numFmtId="0" fontId="5" fillId="0" borderId="1" xfId="0" applyFont="1" applyBorder="1"/>
    <xf numFmtId="0" fontId="4" fillId="2" borderId="52" xfId="0" applyFont="1" applyFill="1" applyBorder="1"/>
    <xf numFmtId="0" fontId="18" fillId="0" borderId="9" xfId="0" applyFont="1" applyBorder="1"/>
    <xf numFmtId="0" fontId="18" fillId="0" borderId="7" xfId="0" applyFont="1" applyBorder="1"/>
    <xf numFmtId="0" fontId="5" fillId="0" borderId="7" xfId="0" applyFont="1" applyBorder="1"/>
    <xf numFmtId="0" fontId="18" fillId="0" borderId="65" xfId="0" applyFont="1" applyBorder="1"/>
    <xf numFmtId="0" fontId="18" fillId="0" borderId="66" xfId="0" applyFont="1" applyBorder="1"/>
    <xf numFmtId="0" fontId="5" fillId="0" borderId="67" xfId="0" applyFont="1" applyBorder="1"/>
    <xf numFmtId="0" fontId="5" fillId="0" borderId="68" xfId="0" applyFont="1" applyBorder="1"/>
    <xf numFmtId="0" fontId="0" fillId="0" borderId="57" xfId="0" applyFont="1" applyBorder="1" applyAlignment="1"/>
    <xf numFmtId="0" fontId="0" fillId="0" borderId="58" xfId="0" applyFont="1" applyBorder="1" applyAlignment="1"/>
    <xf numFmtId="0" fontId="5" fillId="0" borderId="57" xfId="0" applyFont="1" applyBorder="1"/>
    <xf numFmtId="0" fontId="5" fillId="0" borderId="69" xfId="0" applyFont="1" applyBorder="1"/>
    <xf numFmtId="0" fontId="5" fillId="0" borderId="70" xfId="0" applyFont="1" applyBorder="1"/>
    <xf numFmtId="0" fontId="5" fillId="0" borderId="71" xfId="0" applyFont="1" applyBorder="1"/>
    <xf numFmtId="0" fontId="5" fillId="0" borderId="72" xfId="0" applyFont="1" applyBorder="1"/>
    <xf numFmtId="0" fontId="5" fillId="0" borderId="73" xfId="0" applyFont="1" applyBorder="1"/>
    <xf numFmtId="0" fontId="5" fillId="0" borderId="54" xfId="0" applyFont="1" applyBorder="1"/>
    <xf numFmtId="0" fontId="4" fillId="16" borderId="57" xfId="0" applyNumberFormat="1" applyFont="1" applyFill="1" applyBorder="1"/>
    <xf numFmtId="0" fontId="4" fillId="16" borderId="58" xfId="0" applyNumberFormat="1" applyFont="1" applyFill="1" applyBorder="1"/>
    <xf numFmtId="0" fontId="0" fillId="0" borderId="57" xfId="0" applyFont="1" applyFill="1" applyBorder="1" applyAlignment="1"/>
    <xf numFmtId="0" fontId="0" fillId="0" borderId="58" xfId="0" applyFont="1" applyFill="1" applyBorder="1" applyAlignment="1"/>
    <xf numFmtId="9" fontId="5" fillId="0" borderId="62" xfId="0" applyNumberFormat="1" applyFont="1" applyBorder="1"/>
    <xf numFmtId="9" fontId="4" fillId="16" borderId="54" xfId="0" applyNumberFormat="1" applyFont="1" applyFill="1" applyBorder="1"/>
    <xf numFmtId="9" fontId="4" fillId="16" borderId="56" xfId="0" applyNumberFormat="1" applyFont="1" applyFill="1" applyBorder="1"/>
    <xf numFmtId="0" fontId="0" fillId="0" borderId="59" xfId="0" applyFont="1" applyBorder="1" applyAlignment="1"/>
    <xf numFmtId="0" fontId="0" fillId="0" borderId="62" xfId="0" applyFont="1" applyBorder="1" applyAlignment="1"/>
    <xf numFmtId="9" fontId="4" fillId="16" borderId="57" xfId="0" applyNumberFormat="1" applyFont="1" applyFill="1" applyBorder="1"/>
    <xf numFmtId="9" fontId="4" fillId="16" borderId="58" xfId="0" applyNumberFormat="1" applyFont="1" applyFill="1" applyBorder="1"/>
    <xf numFmtId="0" fontId="0" fillId="0" borderId="54" xfId="0" applyFont="1" applyBorder="1" applyAlignment="1"/>
    <xf numFmtId="0" fontId="0" fillId="0" borderId="56" xfId="0" applyFont="1" applyBorder="1" applyAlignment="1"/>
    <xf numFmtId="9" fontId="4" fillId="16" borderId="59" xfId="0" applyNumberFormat="1" applyFont="1" applyFill="1" applyBorder="1"/>
    <xf numFmtId="9" fontId="4" fillId="16" borderId="62" xfId="0" applyNumberFormat="1" applyFont="1" applyFill="1" applyBorder="1"/>
    <xf numFmtId="0" fontId="5" fillId="0" borderId="15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15" fillId="2" borderId="35" xfId="0" applyFont="1" applyFill="1" applyBorder="1" applyAlignment="1">
      <alignment vertical="center"/>
    </xf>
    <xf numFmtId="0" fontId="15" fillId="2" borderId="32" xfId="0" applyFont="1" applyFill="1" applyBorder="1" applyAlignment="1">
      <alignment vertical="center"/>
    </xf>
    <xf numFmtId="0" fontId="15" fillId="2" borderId="74" xfId="0" applyFont="1" applyFill="1" applyBorder="1" applyAlignment="1">
      <alignment vertical="center"/>
    </xf>
    <xf numFmtId="0" fontId="15" fillId="2" borderId="48" xfId="0" applyFont="1" applyFill="1" applyBorder="1" applyAlignment="1">
      <alignment vertical="center"/>
    </xf>
    <xf numFmtId="0" fontId="15" fillId="0" borderId="0" xfId="0" applyFont="1"/>
    <xf numFmtId="0" fontId="0" fillId="0" borderId="0" xfId="0" applyFont="1" applyAlignment="1"/>
    <xf numFmtId="0" fontId="4" fillId="2" borderId="75" xfId="0" applyFont="1" applyFill="1" applyBorder="1"/>
    <xf numFmtId="0" fontId="4" fillId="2" borderId="76" xfId="0" applyFont="1" applyFill="1" applyBorder="1"/>
    <xf numFmtId="0" fontId="0" fillId="0" borderId="34" xfId="0" applyFont="1" applyBorder="1" applyAlignment="1"/>
    <xf numFmtId="0" fontId="0" fillId="0" borderId="79" xfId="0" applyFont="1" applyBorder="1" applyAlignment="1"/>
    <xf numFmtId="0" fontId="0" fillId="0" borderId="80" xfId="0" applyFont="1" applyBorder="1" applyAlignment="1"/>
    <xf numFmtId="0" fontId="0" fillId="0" borderId="81" xfId="0" applyFont="1" applyBorder="1" applyAlignment="1"/>
    <xf numFmtId="0" fontId="15" fillId="0" borderId="54" xfId="0" applyFont="1" applyBorder="1" applyAlignment="1"/>
    <xf numFmtId="0" fontId="15" fillId="0" borderId="77" xfId="0" applyFont="1" applyBorder="1" applyAlignment="1"/>
    <xf numFmtId="0" fontId="15" fillId="0" borderId="78" xfId="0" applyFont="1" applyBorder="1" applyAlignment="1"/>
    <xf numFmtId="0" fontId="21" fillId="0" borderId="34" xfId="0" applyFont="1" applyBorder="1" applyAlignment="1"/>
    <xf numFmtId="0" fontId="21" fillId="0" borderId="8" xfId="0" applyFont="1" applyBorder="1" applyAlignment="1">
      <alignment vertical="center"/>
    </xf>
    <xf numFmtId="172" fontId="21" fillId="0" borderId="8" xfId="0" applyNumberFormat="1" applyFont="1" applyBorder="1" applyAlignment="1">
      <alignment vertical="center"/>
    </xf>
    <xf numFmtId="175" fontId="4" fillId="34" borderId="41" xfId="0" applyNumberFormat="1" applyFont="1" applyFill="1" applyBorder="1" applyAlignment="1">
      <alignment horizontal="right"/>
    </xf>
    <xf numFmtId="175" fontId="4" fillId="35" borderId="40" xfId="0" applyNumberFormat="1" applyFont="1" applyFill="1" applyBorder="1"/>
    <xf numFmtId="175" fontId="4" fillId="35" borderId="42" xfId="0" applyNumberFormat="1" applyFont="1" applyFill="1" applyBorder="1"/>
    <xf numFmtId="175" fontId="4" fillId="35" borderId="50" xfId="0" applyNumberFormat="1" applyFont="1" applyFill="1" applyBorder="1"/>
    <xf numFmtId="0" fontId="15" fillId="0" borderId="0" xfId="0" applyFont="1" applyAlignment="1">
      <alignment wrapText="1"/>
    </xf>
    <xf numFmtId="0" fontId="5" fillId="0" borderId="4" xfId="0" applyFont="1" applyBorder="1" applyAlignment="1"/>
    <xf numFmtId="0" fontId="4" fillId="5" borderId="3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11" fillId="27" borderId="0" xfId="0" applyFont="1" applyFill="1"/>
    <xf numFmtId="0" fontId="13" fillId="27" borderId="0" xfId="0" applyFont="1" applyFill="1"/>
    <xf numFmtId="178" fontId="4" fillId="2" borderId="0" xfId="18" applyNumberFormat="1" applyFont="1" applyFill="1" applyBorder="1"/>
    <xf numFmtId="168" fontId="4" fillId="0" borderId="0" xfId="0" applyNumberFormat="1" applyFont="1" applyBorder="1"/>
    <xf numFmtId="167" fontId="4" fillId="2" borderId="0" xfId="0" applyNumberFormat="1" applyFont="1" applyFill="1" applyBorder="1" applyAlignment="1">
      <alignment vertical="center"/>
    </xf>
    <xf numFmtId="175" fontId="4" fillId="10" borderId="38" xfId="0" applyNumberFormat="1" applyFont="1" applyFill="1" applyBorder="1"/>
    <xf numFmtId="0" fontId="0" fillId="0" borderId="41" xfId="0" applyFont="1" applyBorder="1" applyAlignment="1"/>
    <xf numFmtId="0" fontId="4" fillId="2" borderId="15" xfId="0" applyFont="1" applyFill="1" applyBorder="1" applyAlignment="1">
      <alignment wrapText="1"/>
    </xf>
    <xf numFmtId="0" fontId="0" fillId="0" borderId="0" xfId="0" applyFont="1" applyAlignment="1"/>
    <xf numFmtId="176" fontId="4" fillId="31" borderId="32" xfId="0" applyNumberFormat="1" applyFont="1" applyFill="1" applyBorder="1"/>
    <xf numFmtId="176" fontId="2" fillId="31" borderId="34" xfId="0" applyNumberFormat="1" applyFont="1" applyFill="1" applyBorder="1"/>
    <xf numFmtId="167" fontId="4" fillId="6" borderId="10" xfId="0" applyNumberFormat="1" applyFont="1" applyFill="1" applyBorder="1"/>
    <xf numFmtId="0" fontId="0" fillId="0" borderId="0" xfId="0" applyFont="1" applyAlignment="1">
      <alignment vertical="center"/>
    </xf>
    <xf numFmtId="174" fontId="0" fillId="2" borderId="8" xfId="0" applyNumberFormat="1" applyFont="1" applyFill="1" applyBorder="1" applyAlignment="1">
      <alignment vertical="center"/>
    </xf>
    <xf numFmtId="3" fontId="4" fillId="0" borderId="0" xfId="0" applyNumberFormat="1" applyFont="1" applyFill="1" applyBorder="1"/>
    <xf numFmtId="3" fontId="4" fillId="0" borderId="41" xfId="0" applyNumberFormat="1" applyFont="1" applyFill="1" applyBorder="1"/>
    <xf numFmtId="176" fontId="4" fillId="32" borderId="0" xfId="13" applyNumberFormat="1" applyFont="1" applyFill="1" applyBorder="1"/>
    <xf numFmtId="176" fontId="4" fillId="32" borderId="40" xfId="13" applyNumberFormat="1" applyFont="1" applyFill="1" applyBorder="1"/>
    <xf numFmtId="176" fontId="4" fillId="32" borderId="41" xfId="13" applyNumberFormat="1" applyFont="1" applyFill="1" applyBorder="1"/>
    <xf numFmtId="176" fontId="4" fillId="32" borderId="42" xfId="13" applyNumberFormat="1" applyFont="1" applyFill="1" applyBorder="1"/>
    <xf numFmtId="3" fontId="25" fillId="33" borderId="41" xfId="3" applyNumberFormat="1" applyFill="1" applyBorder="1"/>
    <xf numFmtId="176" fontId="2" fillId="32" borderId="34" xfId="13" applyNumberFormat="1" applyFont="1" applyFill="1" applyBorder="1"/>
    <xf numFmtId="3" fontId="2" fillId="0" borderId="82" xfId="0" applyNumberFormat="1" applyFont="1" applyFill="1" applyBorder="1"/>
    <xf numFmtId="0" fontId="2" fillId="0" borderId="35" xfId="0" applyFont="1" applyFill="1" applyBorder="1"/>
    <xf numFmtId="0" fontId="15" fillId="37" borderId="34" xfId="0" applyFont="1" applyFill="1" applyBorder="1" applyAlignment="1"/>
    <xf numFmtId="179" fontId="0" fillId="0" borderId="0" xfId="0" applyNumberFormat="1" applyFont="1" applyAlignment="1"/>
    <xf numFmtId="2" fontId="0" fillId="0" borderId="0" xfId="0" applyNumberFormat="1" applyFont="1" applyAlignment="1"/>
    <xf numFmtId="0" fontId="15" fillId="37" borderId="0" xfId="0" applyFont="1" applyFill="1" applyBorder="1" applyAlignment="1"/>
    <xf numFmtId="9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4" fillId="0" borderId="32" xfId="0" applyFont="1" applyFill="1" applyBorder="1"/>
    <xf numFmtId="4" fontId="26" fillId="33" borderId="0" xfId="3" applyNumberFormat="1" applyFont="1" applyFill="1"/>
    <xf numFmtId="3" fontId="25" fillId="33" borderId="0" xfId="3" applyNumberFormat="1" applyFill="1"/>
    <xf numFmtId="3" fontId="25" fillId="33" borderId="33" xfId="3" applyNumberFormat="1" applyFill="1" applyBorder="1"/>
    <xf numFmtId="3" fontId="25" fillId="33" borderId="40" xfId="3" applyNumberFormat="1" applyFill="1" applyBorder="1"/>
    <xf numFmtId="3" fontId="25" fillId="33" borderId="42" xfId="3" applyNumberFormat="1" applyFill="1" applyBorder="1"/>
    <xf numFmtId="3" fontId="25" fillId="27" borderId="0" xfId="3" applyNumberFormat="1" applyFill="1"/>
    <xf numFmtId="3" fontId="25" fillId="33" borderId="84" xfId="3" applyNumberFormat="1" applyFill="1" applyBorder="1"/>
    <xf numFmtId="3" fontId="4" fillId="31" borderId="5" xfId="0" applyNumberFormat="1" applyFont="1" applyFill="1" applyBorder="1"/>
    <xf numFmtId="3" fontId="2" fillId="31" borderId="83" xfId="0" applyNumberFormat="1" applyFont="1" applyFill="1" applyBorder="1"/>
    <xf numFmtId="3" fontId="4" fillId="31" borderId="0" xfId="0" applyNumberFormat="1" applyFont="1" applyFill="1" applyBorder="1"/>
    <xf numFmtId="3" fontId="26" fillId="33" borderId="48" xfId="3" applyNumberFormat="1" applyFont="1" applyFill="1" applyBorder="1"/>
    <xf numFmtId="3" fontId="25" fillId="33" borderId="50" xfId="3" applyNumberFormat="1" applyFill="1" applyBorder="1"/>
    <xf numFmtId="3" fontId="25" fillId="33" borderId="53" xfId="3" applyNumberFormat="1" applyFill="1" applyBorder="1"/>
    <xf numFmtId="3" fontId="25" fillId="33" borderId="64" xfId="3" applyNumberFormat="1" applyFill="1" applyBorder="1"/>
    <xf numFmtId="3" fontId="26" fillId="33" borderId="34" xfId="3" applyNumberFormat="1" applyFont="1" applyFill="1" applyBorder="1"/>
    <xf numFmtId="176" fontId="4" fillId="0" borderId="40" xfId="13" applyNumberFormat="1" applyFont="1" applyFill="1" applyBorder="1"/>
    <xf numFmtId="3" fontId="4" fillId="37" borderId="0" xfId="0" applyNumberFormat="1" applyFont="1" applyFill="1" applyBorder="1"/>
    <xf numFmtId="3" fontId="4" fillId="37" borderId="6" xfId="0" applyNumberFormat="1" applyFont="1" applyFill="1" applyBorder="1"/>
    <xf numFmtId="0" fontId="0" fillId="37" borderId="0" xfId="0" applyFont="1" applyFill="1" applyAlignment="1"/>
    <xf numFmtId="176" fontId="4" fillId="37" borderId="41" xfId="0" applyNumberFormat="1" applyFont="1" applyFill="1" applyBorder="1"/>
    <xf numFmtId="3" fontId="2" fillId="37" borderId="82" xfId="0" applyNumberFormat="1" applyFont="1" applyFill="1" applyBorder="1"/>
    <xf numFmtId="3" fontId="4" fillId="37" borderId="41" xfId="0" applyNumberFormat="1" applyFont="1" applyFill="1" applyBorder="1"/>
    <xf numFmtId="3" fontId="4" fillId="37" borderId="42" xfId="0" applyNumberFormat="1" applyFont="1" applyFill="1" applyBorder="1"/>
    <xf numFmtId="0" fontId="2" fillId="31" borderId="0" xfId="0" applyFont="1" applyFill="1" applyBorder="1" applyAlignment="1">
      <alignment wrapText="1"/>
    </xf>
    <xf numFmtId="3" fontId="4" fillId="0" borderId="85" xfId="0" applyNumberFormat="1" applyFont="1" applyFill="1" applyBorder="1"/>
    <xf numFmtId="0" fontId="2" fillId="2" borderId="36" xfId="0" applyFont="1" applyFill="1" applyBorder="1"/>
    <xf numFmtId="0" fontId="4" fillId="2" borderId="53" xfId="0" applyFont="1" applyFill="1" applyBorder="1" applyAlignment="1">
      <alignment horizontal="center"/>
    </xf>
    <xf numFmtId="0" fontId="4" fillId="2" borderId="38" xfId="0" applyFont="1" applyFill="1" applyBorder="1"/>
    <xf numFmtId="167" fontId="4" fillId="2" borderId="50" xfId="0" applyNumberFormat="1" applyFont="1" applyFill="1" applyBorder="1" applyAlignment="1">
      <alignment horizontal="center"/>
    </xf>
    <xf numFmtId="167" fontId="4" fillId="2" borderId="39" xfId="0" applyNumberFormat="1" applyFont="1" applyFill="1" applyBorder="1" applyAlignment="1">
      <alignment horizontal="center"/>
    </xf>
    <xf numFmtId="167" fontId="4" fillId="2" borderId="64" xfId="0" applyNumberFormat="1" applyFont="1" applyFill="1" applyBorder="1" applyAlignment="1">
      <alignment horizontal="center"/>
    </xf>
    <xf numFmtId="3" fontId="25" fillId="33" borderId="0" xfId="3" applyNumberFormat="1" applyFill="1" applyBorder="1"/>
    <xf numFmtId="176" fontId="4" fillId="0" borderId="0" xfId="0" applyNumberFormat="1" applyFont="1" applyFill="1" applyBorder="1"/>
    <xf numFmtId="176" fontId="4" fillId="37" borderId="38" xfId="0" applyNumberFormat="1" applyFont="1" applyFill="1" applyBorder="1"/>
    <xf numFmtId="176" fontId="4" fillId="37" borderId="0" xfId="13" applyNumberFormat="1" applyFont="1" applyFill="1" applyBorder="1"/>
    <xf numFmtId="176" fontId="4" fillId="37" borderId="85" xfId="0" applyNumberFormat="1" applyFont="1" applyFill="1" applyBorder="1"/>
    <xf numFmtId="176" fontId="4" fillId="37" borderId="5" xfId="0" applyNumberFormat="1" applyFont="1" applyFill="1" applyBorder="1"/>
    <xf numFmtId="176" fontId="4" fillId="37" borderId="0" xfId="0" applyNumberFormat="1" applyFont="1" applyFill="1" applyBorder="1"/>
    <xf numFmtId="176" fontId="4" fillId="37" borderId="40" xfId="0" applyNumberFormat="1" applyFont="1" applyFill="1" applyBorder="1"/>
    <xf numFmtId="176" fontId="4" fillId="37" borderId="42" xfId="0" applyNumberFormat="1" applyFont="1" applyFill="1" applyBorder="1"/>
    <xf numFmtId="176" fontId="4" fillId="37" borderId="1" xfId="0" applyNumberFormat="1" applyFont="1" applyFill="1" applyBorder="1"/>
    <xf numFmtId="176" fontId="4" fillId="37" borderId="6" xfId="0" applyNumberFormat="1" applyFont="1" applyFill="1" applyBorder="1"/>
    <xf numFmtId="167" fontId="4" fillId="37" borderId="10" xfId="0" applyNumberFormat="1" applyFont="1" applyFill="1" applyBorder="1"/>
    <xf numFmtId="176" fontId="4" fillId="37" borderId="37" xfId="0" applyNumberFormat="1" applyFont="1" applyFill="1" applyBorder="1"/>
    <xf numFmtId="0" fontId="2" fillId="37" borderId="9" xfId="0" applyFont="1" applyFill="1" applyBorder="1" applyAlignment="1">
      <alignment wrapText="1"/>
    </xf>
    <xf numFmtId="0" fontId="0" fillId="0" borderId="0" xfId="0" applyFont="1" applyAlignment="1"/>
    <xf numFmtId="4" fontId="8" fillId="2" borderId="0" xfId="0" applyNumberFormat="1" applyFont="1" applyFill="1" applyBorder="1"/>
    <xf numFmtId="39" fontId="4" fillId="2" borderId="0" xfId="0" applyNumberFormat="1" applyFont="1" applyFill="1" applyBorder="1" applyAlignment="1">
      <alignment vertical="center"/>
    </xf>
    <xf numFmtId="0" fontId="4" fillId="2" borderId="34" xfId="0" applyFont="1" applyFill="1" applyBorder="1" applyAlignment="1">
      <alignment vertical="center"/>
    </xf>
    <xf numFmtId="0" fontId="0" fillId="31" borderId="1" xfId="0" applyFont="1" applyFill="1" applyBorder="1"/>
    <xf numFmtId="0" fontId="0" fillId="31" borderId="4" xfId="0" applyFont="1" applyFill="1" applyBorder="1"/>
    <xf numFmtId="0" fontId="0" fillId="31" borderId="15" xfId="0" applyFont="1" applyFill="1" applyBorder="1" applyAlignment="1">
      <alignment wrapText="1"/>
    </xf>
    <xf numFmtId="0" fontId="0" fillId="31" borderId="0" xfId="0" applyFont="1" applyFill="1" applyBorder="1" applyAlignment="1">
      <alignment wrapText="1"/>
    </xf>
    <xf numFmtId="0" fontId="0" fillId="31" borderId="0" xfId="0" applyFont="1" applyFill="1" applyBorder="1" applyAlignment="1">
      <alignment vertical="center"/>
    </xf>
    <xf numFmtId="0" fontId="0" fillId="31" borderId="6" xfId="0" applyFont="1" applyFill="1" applyBorder="1" applyAlignment="1">
      <alignment wrapText="1"/>
    </xf>
    <xf numFmtId="0" fontId="4" fillId="31" borderId="0" xfId="0" applyFont="1" applyFill="1" applyBorder="1" applyAlignment="1">
      <alignment vertical="center"/>
    </xf>
    <xf numFmtId="0" fontId="4" fillId="31" borderId="6" xfId="0" applyFont="1" applyFill="1" applyBorder="1" applyAlignment="1">
      <alignment vertical="center"/>
    </xf>
    <xf numFmtId="0" fontId="0" fillId="31" borderId="12" xfId="0" applyFont="1" applyFill="1" applyBorder="1" applyAlignment="1">
      <alignment vertical="center"/>
    </xf>
    <xf numFmtId="0" fontId="15" fillId="31" borderId="1" xfId="0" applyFont="1" applyFill="1" applyBorder="1" applyAlignment="1">
      <alignment wrapText="1"/>
    </xf>
    <xf numFmtId="0" fontId="2" fillId="31" borderId="1" xfId="0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0" fontId="0" fillId="38" borderId="0" xfId="0" applyFont="1" applyFill="1" applyBorder="1" applyAlignment="1">
      <alignment wrapText="1"/>
    </xf>
    <xf numFmtId="0" fontId="4" fillId="38" borderId="0" xfId="0" applyFont="1" applyFill="1" applyBorder="1" applyAlignment="1">
      <alignment vertical="center"/>
    </xf>
    <xf numFmtId="0" fontId="0" fillId="31" borderId="1" xfId="0" applyFont="1" applyFill="1" applyBorder="1" applyAlignment="1">
      <alignment wrapText="1"/>
    </xf>
    <xf numFmtId="0" fontId="4" fillId="31" borderId="1" xfId="0" applyFont="1" applyFill="1" applyBorder="1" applyAlignment="1">
      <alignment vertical="center"/>
    </xf>
    <xf numFmtId="0" fontId="0" fillId="31" borderId="0" xfId="0" applyFont="1" applyFill="1" applyBorder="1"/>
    <xf numFmtId="168" fontId="0" fillId="38" borderId="0" xfId="0" applyNumberFormat="1" applyFont="1" applyFill="1" applyBorder="1"/>
    <xf numFmtId="0" fontId="4" fillId="31" borderId="13" xfId="0" applyFont="1" applyFill="1" applyBorder="1" applyAlignment="1">
      <alignment vertical="center"/>
    </xf>
    <xf numFmtId="168" fontId="4" fillId="31" borderId="1" xfId="0" applyNumberFormat="1" applyFont="1" applyFill="1" applyBorder="1"/>
    <xf numFmtId="0" fontId="4" fillId="31" borderId="4" xfId="0" applyFont="1" applyFill="1" applyBorder="1" applyAlignment="1">
      <alignment vertical="center"/>
    </xf>
    <xf numFmtId="168" fontId="4" fillId="31" borderId="0" xfId="0" applyNumberFormat="1" applyFont="1" applyFill="1" applyBorder="1"/>
    <xf numFmtId="168" fontId="0" fillId="31" borderId="0" xfId="0" applyNumberFormat="1" applyFont="1" applyFill="1" applyBorder="1"/>
    <xf numFmtId="0" fontId="0" fillId="31" borderId="6" xfId="0" applyFont="1" applyFill="1" applyBorder="1"/>
    <xf numFmtId="0" fontId="0" fillId="31" borderId="12" xfId="0" applyFont="1" applyFill="1" applyBorder="1"/>
    <xf numFmtId="0" fontId="0" fillId="31" borderId="13" xfId="0" applyFont="1" applyFill="1" applyBorder="1"/>
    <xf numFmtId="168" fontId="0" fillId="38" borderId="1" xfId="0" applyNumberFormat="1" applyFont="1" applyFill="1" applyBorder="1"/>
    <xf numFmtId="0" fontId="7" fillId="31" borderId="8" xfId="0" applyFont="1" applyFill="1" applyBorder="1" applyAlignment="1">
      <alignment horizontal="center" vertical="center" wrapText="1"/>
    </xf>
    <xf numFmtId="0" fontId="0" fillId="31" borderId="12" xfId="0" applyFont="1" applyFill="1" applyBorder="1" applyAlignment="1">
      <alignment wrapText="1"/>
    </xf>
    <xf numFmtId="0" fontId="0" fillId="31" borderId="13" xfId="0" applyFont="1" applyFill="1" applyBorder="1" applyAlignment="1">
      <alignment wrapText="1"/>
    </xf>
    <xf numFmtId="0" fontId="21" fillId="31" borderId="0" xfId="0" applyFont="1" applyFill="1" applyBorder="1" applyAlignment="1">
      <alignment wrapText="1"/>
    </xf>
    <xf numFmtId="0" fontId="0" fillId="31" borderId="17" xfId="0" applyFont="1" applyFill="1" applyBorder="1" applyAlignment="1">
      <alignment wrapText="1"/>
    </xf>
    <xf numFmtId="0" fontId="0" fillId="38" borderId="18" xfId="0" applyFont="1" applyFill="1" applyBorder="1" applyAlignment="1">
      <alignment wrapText="1"/>
    </xf>
    <xf numFmtId="0" fontId="0" fillId="31" borderId="19" xfId="0" applyFont="1" applyFill="1" applyBorder="1" applyAlignment="1">
      <alignment wrapText="1"/>
    </xf>
    <xf numFmtId="0" fontId="8" fillId="31" borderId="0" xfId="0" applyFont="1" applyFill="1" applyBorder="1"/>
    <xf numFmtId="0" fontId="4" fillId="27" borderId="0" xfId="0" applyFont="1" applyFill="1" applyBorder="1"/>
    <xf numFmtId="0" fontId="4" fillId="27" borderId="6" xfId="0" applyFont="1" applyFill="1" applyBorder="1" applyAlignment="1">
      <alignment vertical="center"/>
    </xf>
    <xf numFmtId="3" fontId="0" fillId="38" borderId="0" xfId="0" applyNumberFormat="1" applyFont="1" applyFill="1" applyBorder="1"/>
    <xf numFmtId="3" fontId="0" fillId="38" borderId="1" xfId="0" applyNumberFormat="1" applyFont="1" applyFill="1" applyBorder="1"/>
    <xf numFmtId="9" fontId="0" fillId="38" borderId="0" xfId="0" applyNumberFormat="1" applyFont="1" applyFill="1" applyBorder="1"/>
    <xf numFmtId="168" fontId="5" fillId="38" borderId="0" xfId="0" applyNumberFormat="1" applyFont="1" applyFill="1" applyBorder="1"/>
    <xf numFmtId="168" fontId="0" fillId="39" borderId="1" xfId="0" applyNumberFormat="1" applyFont="1" applyFill="1" applyBorder="1"/>
    <xf numFmtId="0" fontId="32" fillId="27" borderId="36" xfId="0" applyFont="1" applyFill="1" applyBorder="1" applyAlignment="1"/>
    <xf numFmtId="0" fontId="4" fillId="31" borderId="53" xfId="0" applyFont="1" applyFill="1" applyBorder="1" applyAlignment="1">
      <alignment vertical="center"/>
    </xf>
    <xf numFmtId="0" fontId="4" fillId="31" borderId="52" xfId="0" applyFont="1" applyFill="1" applyBorder="1"/>
    <xf numFmtId="0" fontId="2" fillId="31" borderId="0" xfId="0" applyFont="1" applyFill="1" applyBorder="1" applyAlignment="1">
      <alignment vertical="center"/>
    </xf>
    <xf numFmtId="2" fontId="4" fillId="36" borderId="34" xfId="0" applyNumberFormat="1" applyFont="1" applyFill="1" applyBorder="1" applyAlignment="1">
      <alignment vertical="center"/>
    </xf>
    <xf numFmtId="176" fontId="5" fillId="36" borderId="64" xfId="12" applyNumberFormat="1" applyFont="1" applyFill="1" applyBorder="1" applyAlignment="1">
      <alignment wrapText="1"/>
    </xf>
    <xf numFmtId="0" fontId="15" fillId="2" borderId="36" xfId="0" applyFont="1" applyFill="1" applyBorder="1"/>
    <xf numFmtId="0" fontId="0" fillId="31" borderId="53" xfId="0" applyFont="1" applyFill="1" applyBorder="1"/>
    <xf numFmtId="0" fontId="0" fillId="2" borderId="38" xfId="0" applyFont="1" applyFill="1" applyBorder="1"/>
    <xf numFmtId="3" fontId="0" fillId="31" borderId="50" xfId="0" applyNumberFormat="1" applyFont="1" applyFill="1" applyBorder="1"/>
    <xf numFmtId="0" fontId="21" fillId="2" borderId="38" xfId="0" applyFont="1" applyFill="1" applyBorder="1" applyAlignment="1">
      <alignment wrapText="1"/>
    </xf>
    <xf numFmtId="0" fontId="21" fillId="2" borderId="38" xfId="0" applyFont="1" applyFill="1" applyBorder="1"/>
    <xf numFmtId="0" fontId="0" fillId="2" borderId="52" xfId="0" applyFont="1" applyFill="1" applyBorder="1"/>
    <xf numFmtId="3" fontId="0" fillId="38" borderId="64" xfId="0" applyNumberFormat="1" applyFont="1" applyFill="1" applyBorder="1"/>
    <xf numFmtId="3" fontId="0" fillId="34" borderId="50" xfId="0" applyNumberFormat="1" applyFont="1" applyFill="1" applyBorder="1"/>
    <xf numFmtId="0" fontId="17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9" fontId="0" fillId="34" borderId="0" xfId="0" applyNumberFormat="1" applyFont="1" applyFill="1" applyBorder="1"/>
    <xf numFmtId="9" fontId="5" fillId="34" borderId="0" xfId="0" applyNumberFormat="1" applyFont="1" applyFill="1" applyBorder="1"/>
    <xf numFmtId="165" fontId="2" fillId="2" borderId="10" xfId="0" applyNumberFormat="1" applyFont="1" applyFill="1" applyBorder="1" applyAlignment="1">
      <alignment horizontal="right"/>
    </xf>
    <xf numFmtId="0" fontId="15" fillId="38" borderId="0" xfId="0" applyFont="1" applyFill="1" applyBorder="1" applyAlignment="1">
      <alignment wrapText="1"/>
    </xf>
    <xf numFmtId="0" fontId="2" fillId="38" borderId="0" xfId="0" applyFont="1" applyFill="1" applyBorder="1" applyAlignment="1">
      <alignment vertical="center"/>
    </xf>
    <xf numFmtId="0" fontId="21" fillId="34" borderId="0" xfId="0" applyFont="1" applyFill="1" applyBorder="1" applyAlignment="1">
      <alignment wrapText="1"/>
    </xf>
    <xf numFmtId="0" fontId="0" fillId="34" borderId="0" xfId="0" applyFont="1" applyFill="1" applyBorder="1" applyAlignment="1">
      <alignment wrapText="1"/>
    </xf>
    <xf numFmtId="168" fontId="0" fillId="34" borderId="0" xfId="0" applyNumberFormat="1" applyFont="1" applyFill="1" applyBorder="1"/>
    <xf numFmtId="0" fontId="0" fillId="36" borderId="0" xfId="0" applyFont="1" applyFill="1" applyBorder="1" applyAlignment="1">
      <alignment wrapText="1"/>
    </xf>
    <xf numFmtId="0" fontId="7" fillId="31" borderId="7" xfId="0" applyFont="1" applyFill="1" applyBorder="1" applyAlignment="1">
      <alignment horizontal="center" vertical="center" wrapText="1"/>
    </xf>
    <xf numFmtId="168" fontId="0" fillId="31" borderId="37" xfId="0" applyNumberFormat="1" applyFont="1" applyFill="1" applyBorder="1"/>
    <xf numFmtId="0" fontId="0" fillId="31" borderId="37" xfId="0" applyFont="1" applyFill="1" applyBorder="1"/>
    <xf numFmtId="0" fontId="0" fillId="31" borderId="38" xfId="0" applyFont="1" applyFill="1" applyBorder="1" applyAlignment="1">
      <alignment wrapText="1"/>
    </xf>
    <xf numFmtId="0" fontId="0" fillId="31" borderId="50" xfId="0" applyFont="1" applyFill="1" applyBorder="1"/>
    <xf numFmtId="0" fontId="0" fillId="31" borderId="50" xfId="0" applyFont="1" applyFill="1" applyBorder="1" applyAlignment="1">
      <alignment wrapText="1"/>
    </xf>
    <xf numFmtId="0" fontId="0" fillId="31" borderId="39" xfId="0" applyFont="1" applyFill="1" applyBorder="1" applyAlignment="1">
      <alignment wrapText="1"/>
    </xf>
    <xf numFmtId="0" fontId="0" fillId="31" borderId="64" xfId="0" applyFont="1" applyFill="1" applyBorder="1" applyAlignment="1">
      <alignment wrapText="1"/>
    </xf>
    <xf numFmtId="0" fontId="21" fillId="31" borderId="38" xfId="0" applyFont="1" applyFill="1" applyBorder="1" applyAlignment="1">
      <alignment wrapText="1"/>
    </xf>
    <xf numFmtId="0" fontId="21" fillId="31" borderId="52" xfId="0" applyFont="1" applyFill="1" applyBorder="1" applyAlignment="1">
      <alignment wrapText="1"/>
    </xf>
    <xf numFmtId="0" fontId="0" fillId="36" borderId="39" xfId="0" applyFont="1" applyFill="1" applyBorder="1" applyAlignment="1">
      <alignment wrapText="1"/>
    </xf>
    <xf numFmtId="39" fontId="5" fillId="0" borderId="13" xfId="0" applyNumberFormat="1" applyFont="1" applyFill="1" applyBorder="1"/>
    <xf numFmtId="39" fontId="0" fillId="40" borderId="86" xfId="0" applyNumberFormat="1" applyFont="1" applyFill="1" applyBorder="1"/>
    <xf numFmtId="39" fontId="0" fillId="40" borderId="87" xfId="0" applyNumberFormat="1" applyFont="1" applyFill="1" applyBorder="1"/>
    <xf numFmtId="169" fontId="0" fillId="0" borderId="87" xfId="0" applyNumberFormat="1" applyFont="1" applyFill="1" applyBorder="1"/>
    <xf numFmtId="37" fontId="21" fillId="40" borderId="87" xfId="13" applyNumberFormat="1" applyFont="1" applyFill="1" applyBorder="1"/>
    <xf numFmtId="169" fontId="21" fillId="40" borderId="87" xfId="13" applyNumberFormat="1" applyFont="1" applyFill="1" applyBorder="1"/>
    <xf numFmtId="169" fontId="15" fillId="0" borderId="87" xfId="13" applyNumberFormat="1" applyFont="1" applyFill="1" applyBorder="1"/>
    <xf numFmtId="0" fontId="21" fillId="0" borderId="0" xfId="0" applyFont="1" applyFill="1" applyBorder="1" applyAlignment="1">
      <alignment wrapText="1"/>
    </xf>
    <xf numFmtId="169" fontId="15" fillId="38" borderId="41" xfId="0" applyNumberFormat="1" applyFont="1" applyFill="1" applyBorder="1"/>
    <xf numFmtId="0" fontId="15" fillId="2" borderId="15" xfId="0" applyFont="1" applyFill="1" applyBorder="1" applyAlignment="1">
      <alignment wrapText="1"/>
    </xf>
    <xf numFmtId="0" fontId="0" fillId="2" borderId="35" xfId="0" applyFont="1" applyFill="1" applyBorder="1" applyAlignment="1">
      <alignment wrapText="1"/>
    </xf>
    <xf numFmtId="0" fontId="0" fillId="31" borderId="32" xfId="0" applyFont="1" applyFill="1" applyBorder="1" applyAlignment="1">
      <alignment wrapText="1"/>
    </xf>
    <xf numFmtId="0" fontId="0" fillId="31" borderId="48" xfId="0" applyFont="1" applyFill="1" applyBorder="1" applyAlignment="1">
      <alignment wrapText="1"/>
    </xf>
    <xf numFmtId="0" fontId="4" fillId="2" borderId="42" xfId="0" applyFont="1" applyFill="1" applyBorder="1"/>
    <xf numFmtId="0" fontId="4" fillId="0" borderId="37" xfId="0" applyFont="1" applyFill="1" applyBorder="1" applyAlignment="1">
      <alignment horizontal="center"/>
    </xf>
    <xf numFmtId="169" fontId="15" fillId="40" borderId="87" xfId="13" applyNumberFormat="1" applyFont="1" applyFill="1" applyBorder="1"/>
    <xf numFmtId="0" fontId="4" fillId="2" borderId="37" xfId="0" applyFont="1" applyFill="1" applyBorder="1" applyAlignment="1">
      <alignment horizontal="center"/>
    </xf>
    <xf numFmtId="0" fontId="4" fillId="2" borderId="48" xfId="0" applyFont="1" applyFill="1" applyBorder="1"/>
    <xf numFmtId="0" fontId="0" fillId="0" borderId="0" xfId="0" applyFont="1" applyAlignment="1"/>
    <xf numFmtId="176" fontId="0" fillId="0" borderId="0" xfId="0" applyNumberFormat="1"/>
    <xf numFmtId="0" fontId="15" fillId="0" borderId="34" xfId="0" applyFont="1" applyBorder="1" applyAlignment="1"/>
    <xf numFmtId="0" fontId="0" fillId="0" borderId="32" xfId="0" applyFont="1" applyBorder="1" applyAlignment="1"/>
    <xf numFmtId="0" fontId="21" fillId="0" borderId="0" xfId="0" applyFont="1"/>
    <xf numFmtId="176" fontId="0" fillId="25" borderId="0" xfId="0" applyNumberFormat="1" applyFill="1"/>
    <xf numFmtId="176" fontId="0" fillId="27" borderId="0" xfId="0" applyNumberFormat="1" applyFill="1"/>
    <xf numFmtId="0" fontId="21" fillId="0" borderId="34" xfId="0" applyFont="1" applyFill="1" applyBorder="1" applyAlignment="1"/>
    <xf numFmtId="0" fontId="0" fillId="0" borderId="34" xfId="0" applyFont="1" applyFill="1" applyBorder="1" applyAlignment="1"/>
    <xf numFmtId="176" fontId="0" fillId="0" borderId="0" xfId="0" applyNumberFormat="1" applyFont="1" applyAlignment="1"/>
    <xf numFmtId="176" fontId="0" fillId="25" borderId="0" xfId="0" applyNumberFormat="1" applyFont="1" applyFill="1" applyAlignment="1"/>
    <xf numFmtId="0" fontId="15" fillId="40" borderId="0" xfId="0" applyFont="1" applyFill="1" applyAlignment="1">
      <alignment wrapText="1"/>
    </xf>
    <xf numFmtId="167" fontId="2" fillId="11" borderId="10" xfId="0" applyNumberFormat="1" applyFont="1" applyFill="1" applyBorder="1"/>
    <xf numFmtId="3" fontId="26" fillId="33" borderId="42" xfId="3" applyNumberFormat="1" applyFont="1" applyFill="1" applyBorder="1"/>
    <xf numFmtId="167" fontId="2" fillId="12" borderId="10" xfId="0" applyNumberFormat="1" applyFont="1" applyFill="1" applyBorder="1"/>
    <xf numFmtId="176" fontId="4" fillId="0" borderId="40" xfId="13" applyNumberFormat="1" applyFont="1" applyFill="1" applyBorder="1"/>
    <xf numFmtId="176" fontId="4" fillId="37" borderId="41" xfId="13" applyNumberFormat="1" applyFont="1" applyFill="1" applyBorder="1"/>
    <xf numFmtId="176" fontId="4" fillId="37" borderId="42" xfId="13" applyNumberFormat="1" applyFont="1" applyFill="1" applyBorder="1"/>
    <xf numFmtId="176" fontId="4" fillId="32" borderId="40" xfId="13" applyNumberFormat="1" applyFont="1" applyFill="1" applyBorder="1"/>
    <xf numFmtId="3" fontId="25" fillId="27" borderId="0" xfId="3" applyNumberFormat="1" applyFill="1"/>
    <xf numFmtId="176" fontId="5" fillId="37" borderId="41" xfId="9" applyNumberFormat="1" applyFill="1" applyBorder="1"/>
    <xf numFmtId="176" fontId="4" fillId="37" borderId="41" xfId="13" applyNumberFormat="1" applyFont="1" applyFill="1" applyBorder="1"/>
    <xf numFmtId="3" fontId="26" fillId="27" borderId="0" xfId="3" applyNumberFormat="1" applyFont="1" applyFill="1"/>
    <xf numFmtId="3" fontId="26" fillId="33" borderId="0" xfId="3" applyNumberFormat="1" applyFont="1" applyFill="1"/>
    <xf numFmtId="180" fontId="50" fillId="0" borderId="97" xfId="62" applyNumberFormat="1" applyFont="1" applyBorder="1" applyAlignment="1">
      <alignment vertical="top" wrapText="1"/>
    </xf>
    <xf numFmtId="0" fontId="4" fillId="2" borderId="36" xfId="0" applyFont="1" applyFill="1" applyBorder="1"/>
    <xf numFmtId="167" fontId="4" fillId="0" borderId="37" xfId="0" applyNumberFormat="1" applyFont="1" applyBorder="1" applyAlignment="1">
      <alignment horizontal="center"/>
    </xf>
    <xf numFmtId="167" fontId="4" fillId="2" borderId="53" xfId="0" applyNumberFormat="1" applyFont="1" applyFill="1" applyBorder="1" applyAlignment="1">
      <alignment horizontal="center"/>
    </xf>
    <xf numFmtId="167" fontId="4" fillId="0" borderId="39" xfId="0" applyNumberFormat="1" applyFont="1" applyBorder="1" applyAlignment="1">
      <alignment horizontal="center"/>
    </xf>
    <xf numFmtId="0" fontId="3" fillId="2" borderId="0" xfId="0" applyFont="1" applyFill="1" applyBorder="1" applyAlignment="1">
      <alignment horizontal="left"/>
    </xf>
    <xf numFmtId="0" fontId="5" fillId="0" borderId="0" xfId="0" applyFont="1" applyBorder="1" applyAlignment="1"/>
    <xf numFmtId="0" fontId="2" fillId="2" borderId="1" xfId="0" applyFont="1" applyFill="1" applyBorder="1" applyAlignment="1">
      <alignment horizontal="center"/>
    </xf>
    <xf numFmtId="0" fontId="5" fillId="0" borderId="1" xfId="0" applyFont="1" applyBorder="1" applyAlignment="1"/>
    <xf numFmtId="0" fontId="2" fillId="0" borderId="35" xfId="0" applyFont="1" applyFill="1" applyBorder="1" applyAlignment="1">
      <alignment horizontal="center"/>
    </xf>
    <xf numFmtId="0" fontId="5" fillId="0" borderId="32" xfId="0" applyFont="1" applyFill="1" applyBorder="1" applyAlignment="1"/>
    <xf numFmtId="0" fontId="4" fillId="5" borderId="3" xfId="0" applyFont="1" applyFill="1" applyBorder="1" applyAlignment="1">
      <alignment horizontal="center"/>
    </xf>
    <xf numFmtId="0" fontId="5" fillId="0" borderId="4" xfId="0" applyFont="1" applyBorder="1" applyAlignment="1"/>
    <xf numFmtId="0" fontId="4" fillId="2" borderId="0" xfId="0" applyFont="1" applyFill="1" applyBorder="1" applyAlignment="1"/>
    <xf numFmtId="0" fontId="20" fillId="17" borderId="0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5" fillId="0" borderId="6" xfId="0" applyFont="1" applyBorder="1" applyAlignment="1"/>
    <xf numFmtId="0" fontId="7" fillId="2" borderId="15" xfId="0" applyFont="1" applyFill="1" applyBorder="1" applyAlignment="1">
      <alignment horizontal="center" vertical="center" wrapText="1"/>
    </xf>
    <xf numFmtId="0" fontId="5" fillId="0" borderId="15" xfId="0" applyFont="1" applyBorder="1" applyAlignment="1"/>
    <xf numFmtId="0" fontId="0" fillId="0" borderId="0" xfId="0" applyFont="1" applyAlignment="1"/>
    <xf numFmtId="0" fontId="5" fillId="0" borderId="3" xfId="0" applyFont="1" applyBorder="1" applyAlignment="1"/>
    <xf numFmtId="0" fontId="7" fillId="31" borderId="6" xfId="0" applyFont="1" applyFill="1" applyBorder="1" applyAlignment="1">
      <alignment horizontal="center" vertical="center" wrapText="1"/>
    </xf>
    <xf numFmtId="0" fontId="5" fillId="27" borderId="6" xfId="0" applyFont="1" applyFill="1" applyBorder="1" applyAlignment="1"/>
    <xf numFmtId="0" fontId="5" fillId="27" borderId="12" xfId="0" applyFont="1" applyFill="1" applyBorder="1" applyAlignment="1"/>
    <xf numFmtId="0" fontId="5" fillId="27" borderId="0" xfId="0" applyFont="1" applyFill="1" applyBorder="1" applyAlignment="1"/>
    <xf numFmtId="0" fontId="0" fillId="27" borderId="0" xfId="0" applyFont="1" applyFill="1" applyAlignment="1"/>
    <xf numFmtId="0" fontId="5" fillId="27" borderId="13" xfId="0" applyFont="1" applyFill="1" applyBorder="1" applyAlignment="1"/>
    <xf numFmtId="0" fontId="5" fillId="27" borderId="1" xfId="0" applyFont="1" applyFill="1" applyBorder="1" applyAlignment="1"/>
    <xf numFmtId="0" fontId="5" fillId="27" borderId="4" xfId="0" applyFont="1" applyFill="1" applyBorder="1" applyAlignment="1"/>
  </cellXfs>
  <cellStyles count="63">
    <cellStyle name="20 % – uthevingsfarge 1" xfId="37" builtinId="30" customBuiltin="1"/>
    <cellStyle name="20 % – uthevingsfarge 2" xfId="41" builtinId="34" customBuiltin="1"/>
    <cellStyle name="20 % – uthevingsfarge 3" xfId="45" builtinId="38" customBuiltin="1"/>
    <cellStyle name="20 % – uthevingsfarge 4" xfId="49" builtinId="42" customBuiltin="1"/>
    <cellStyle name="20 % – uthevingsfarge 5" xfId="53" builtinId="46" customBuiltin="1"/>
    <cellStyle name="20 % – uthevingsfarge 6" xfId="57" builtinId="50" customBuiltin="1"/>
    <cellStyle name="40 % – uthevingsfarge 1" xfId="38" builtinId="31" customBuiltin="1"/>
    <cellStyle name="40 % – uthevingsfarge 2" xfId="42" builtinId="35" customBuiltin="1"/>
    <cellStyle name="40 % – uthevingsfarge 3" xfId="46" builtinId="39" customBuiltin="1"/>
    <cellStyle name="40 % – uthevingsfarge 4" xfId="50" builtinId="43" customBuiltin="1"/>
    <cellStyle name="40 % – uthevingsfarge 5" xfId="54" builtinId="47" customBuiltin="1"/>
    <cellStyle name="40 % – uthevingsfarge 6" xfId="58" builtinId="51" customBuiltin="1"/>
    <cellStyle name="60 % – uthevingsfarge 1" xfId="39" builtinId="32" customBuiltin="1"/>
    <cellStyle name="60 % – uthevingsfarge 2" xfId="43" builtinId="36" customBuiltin="1"/>
    <cellStyle name="60 % – uthevingsfarge 3" xfId="47" builtinId="40" customBuiltin="1"/>
    <cellStyle name="60 % – uthevingsfarge 4" xfId="51" builtinId="44" customBuiltin="1"/>
    <cellStyle name="60 % – uthevingsfarge 5" xfId="55" builtinId="48" customBuiltin="1"/>
    <cellStyle name="60 % – uthevingsfarge 6" xfId="59" builtinId="52" customBuiltin="1"/>
    <cellStyle name="Beregning" xfId="30" builtinId="22" customBuiltin="1"/>
    <cellStyle name="Dårlig" xfId="26" builtinId="27" customBuiltin="1"/>
    <cellStyle name="Excel Built-in Explanatory Text" xfId="2" xr:uid="{00000000-0005-0000-0000-000000000000}"/>
    <cellStyle name="Excel Built-in Normal 1" xfId="3" xr:uid="{00000000-0005-0000-0000-000001000000}"/>
    <cellStyle name="Forklarende tekst" xfId="34" builtinId="53" customBuiltin="1"/>
    <cellStyle name="God" xfId="25" builtinId="26" customBuiltin="1"/>
    <cellStyle name="Inndata" xfId="28" builtinId="20" customBuiltin="1"/>
    <cellStyle name="Koblet celle" xfId="31" builtinId="24" customBuiltin="1"/>
    <cellStyle name="Komma" xfId="12" builtinId="3"/>
    <cellStyle name="Komma 2" xfId="4" xr:uid="{00000000-0005-0000-0000-000003000000}"/>
    <cellStyle name="Komma 3" xfId="9" xr:uid="{00000000-0005-0000-0000-000004000000}"/>
    <cellStyle name="Komma 4" xfId="17" xr:uid="{00000000-0005-0000-0000-000005000000}"/>
    <cellStyle name="Komma 5" xfId="15" xr:uid="{00000000-0005-0000-0000-000006000000}"/>
    <cellStyle name="Komma 6" xfId="62" xr:uid="{EB36EBDD-C6ED-4862-B337-0F2C3C1B7433}"/>
    <cellStyle name="Kontrollcelle" xfId="32" builtinId="23" customBuiltin="1"/>
    <cellStyle name="Merknad 2" xfId="61" xr:uid="{B25A5763-58C6-45FF-9F9A-203FCEF6B870}"/>
    <cellStyle name="Normal" xfId="0" builtinId="0"/>
    <cellStyle name="Normal 2" xfId="5" xr:uid="{00000000-0005-0000-0000-000008000000}"/>
    <cellStyle name="Normal 3" xfId="6" xr:uid="{00000000-0005-0000-0000-000009000000}"/>
    <cellStyle name="Normal 4" xfId="1" xr:uid="{00000000-0005-0000-0000-00000A000000}"/>
    <cellStyle name="Normal 5" xfId="11" xr:uid="{00000000-0005-0000-0000-00000B000000}"/>
    <cellStyle name="Normal 5 2" xfId="16" xr:uid="{00000000-0005-0000-0000-00000C000000}"/>
    <cellStyle name="Normal 5 3" xfId="14" xr:uid="{00000000-0005-0000-0000-00000D000000}"/>
    <cellStyle name="Normal 6" xfId="13" xr:uid="{00000000-0005-0000-0000-00000E000000}"/>
    <cellStyle name="Normal 7" xfId="60" xr:uid="{62A4BD8D-8DF6-426D-8429-FE7124C06F21}"/>
    <cellStyle name="Nøytral" xfId="27" builtinId="28" customBuiltin="1"/>
    <cellStyle name="Overskrift 1" xfId="21" builtinId="16" customBuiltin="1"/>
    <cellStyle name="Overskrift 2" xfId="22" builtinId="17" customBuiltin="1"/>
    <cellStyle name="Overskrift 3" xfId="23" builtinId="18" customBuiltin="1"/>
    <cellStyle name="Overskrift 4" xfId="24" builtinId="19" customBuiltin="1"/>
    <cellStyle name="Prosent" xfId="18" builtinId="5"/>
    <cellStyle name="Prosent 2" xfId="8" xr:uid="{00000000-0005-0000-0000-000010000000}"/>
    <cellStyle name="Prosent 3" xfId="7" xr:uid="{00000000-0005-0000-0000-000011000000}"/>
    <cellStyle name="Prosent 4" xfId="10" xr:uid="{00000000-0005-0000-0000-000012000000}"/>
    <cellStyle name="Prosent 5" xfId="19" xr:uid="{00000000-0005-0000-0000-000013000000}"/>
    <cellStyle name="Tittel" xfId="20" builtinId="15" customBuiltin="1"/>
    <cellStyle name="Totalt" xfId="35" builtinId="25" customBuiltin="1"/>
    <cellStyle name="Utdata" xfId="29" builtinId="21" customBuiltin="1"/>
    <cellStyle name="Uthevingsfarge1" xfId="36" builtinId="29" customBuiltin="1"/>
    <cellStyle name="Uthevingsfarge2" xfId="40" builtinId="33" customBuiltin="1"/>
    <cellStyle name="Uthevingsfarge3" xfId="44" builtinId="37" customBuiltin="1"/>
    <cellStyle name="Uthevingsfarge4" xfId="48" builtinId="41" customBuiltin="1"/>
    <cellStyle name="Uthevingsfarge5" xfId="52" builtinId="45" customBuiltin="1"/>
    <cellStyle name="Uthevingsfarge6" xfId="56" builtinId="49" customBuiltin="1"/>
    <cellStyle name="Varseltekst" xfId="33" builtinId="11" customBuiltin="1"/>
  </cellStyles>
  <dxfs count="4">
    <dxf>
      <font>
        <color rgb="FF006100"/>
      </font>
      <fill>
        <patternFill patternType="solid">
          <fgColor rgb="FFC6EFCE"/>
          <bgColor rgb="FFC6EFCE"/>
        </patternFill>
      </fill>
      <border>
        <left/>
        <right/>
        <top/>
        <bottom/>
      </border>
    </dxf>
    <dxf>
      <font>
        <color rgb="FF9C0006"/>
      </font>
      <fill>
        <patternFill patternType="solid">
          <fgColor rgb="FFFFC7CE"/>
          <bgColor rgb="FFFFC7CE"/>
        </patternFill>
      </fill>
      <border>
        <left/>
        <right/>
        <top/>
        <bottom/>
      </border>
    </dxf>
    <dxf>
      <font>
        <color rgb="FF006100"/>
      </font>
      <fill>
        <patternFill patternType="solid">
          <fgColor rgb="FFC6EFCE"/>
          <bgColor rgb="FFC6EFCE"/>
        </patternFill>
      </fill>
      <border>
        <left/>
        <right/>
        <top/>
        <bottom/>
      </border>
    </dxf>
    <dxf>
      <font>
        <color rgb="FF9C0006"/>
      </font>
      <fill>
        <patternFill patternType="solid">
          <fgColor rgb="FFFFC7CE"/>
          <bgColor rgb="FFFFC7CE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revisionHeaders" Target="revisions/revisionHeader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2059" name="Rectangle 11" hidden="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2" name="AutoShape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4" name="AutoShape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5" name="AutoShap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6" name="AutoShap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7" name="AutoShape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8" name="AutoShape 1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10" name="AutoShape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56</xdr:row>
      <xdr:rowOff>137160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56</xdr:row>
      <xdr:rowOff>137160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55</xdr:row>
      <xdr:rowOff>137160</xdr:rowOff>
    </xdr:to>
    <xdr:sp macro="" textlink="">
      <xdr:nvSpPr>
        <xdr:cNvPr id="13" name="AutoShape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55</xdr:row>
      <xdr:rowOff>137160</xdr:rowOff>
    </xdr:to>
    <xdr:sp macro="" textlink="">
      <xdr:nvSpPr>
        <xdr:cNvPr id="14" name="AutoShape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5" name="AutoShape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7" name="AutoShap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8" name="AutoShape 1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9" name="AutoShape 1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20" name="AutoShape 1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044" name="Rectangle 20" hidden="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2" name="Auto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3" name="AutoShape 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4" name="AutoShape 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5" name="AutoShape 2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6" name="AutoShape 2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7" name="Auto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8" name="AutoShape 2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9" name="Auto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61</xdr:row>
      <xdr:rowOff>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11" name="AutoShape 2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15240</xdr:rowOff>
    </xdr:to>
    <xdr:sp macro="" textlink="">
      <xdr:nvSpPr>
        <xdr:cNvPr id="13" name="AutoShape 2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62</xdr:row>
      <xdr:rowOff>0</xdr:rowOff>
    </xdr:to>
    <xdr:sp macro="" textlink="">
      <xdr:nvSpPr>
        <xdr:cNvPr id="14" name="AutoShape 2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6" name="AutoShape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7" name="AutoShap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60</xdr:row>
      <xdr:rowOff>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59</xdr:row>
      <xdr:rowOff>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7171" name="Rectangle 3" hidden="1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11" name="AutoShap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12" name="AutoShap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57</xdr:row>
      <xdr:rowOff>152400</xdr:rowOff>
    </xdr:to>
    <xdr:sp macro="" textlink="">
      <xdr:nvSpPr>
        <xdr:cNvPr id="14" name="AutoShape 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15" name="AutoShap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56</xdr:row>
      <xdr:rowOff>0</xdr:rowOff>
    </xdr:to>
    <xdr:sp macro="" textlink="">
      <xdr:nvSpPr>
        <xdr:cNvPr id="16" name="AutoShap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17" name="AutoShap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57</xdr:row>
      <xdr:rowOff>0</xdr:rowOff>
    </xdr:to>
    <xdr:sp macro="" textlink="">
      <xdr:nvSpPr>
        <xdr:cNvPr id="18" name="AutoShape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58</xdr:row>
      <xdr:rowOff>0</xdr:rowOff>
    </xdr:to>
    <xdr:sp macro="" textlink="">
      <xdr:nvSpPr>
        <xdr:cNvPr id="19" name="AutoShap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58</xdr:row>
      <xdr:rowOff>0</xdr:rowOff>
    </xdr:to>
    <xdr:sp macro="" textlink="">
      <xdr:nvSpPr>
        <xdr:cNvPr id="20" name="AutoShape 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5127" name="Rectangle 7" hidden="1">
          <a:extLst>
            <a:ext uri="{FF2B5EF4-FFF2-40B4-BE49-F238E27FC236}">
              <a16:creationId xmlns:a16="http://schemas.microsoft.com/office/drawing/2014/main" id="{00000000-0008-0000-0400-000007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2" name="AutoShap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3" name="AutoShape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6" name="AutoShap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9" name="AutoShape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1" name="AutoShape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2" name="AutoShape 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4" name="AutoShape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6" name="AutoShape 7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8" name="AutoShap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9" name="AutoShape 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20" name="AutoShape 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8210" name="Rectangle 18" hidden="1">
          <a:extLst>
            <a:ext uri="{FF2B5EF4-FFF2-40B4-BE49-F238E27FC236}">
              <a16:creationId xmlns:a16="http://schemas.microsoft.com/office/drawing/2014/main" id="{00000000-0008-0000-0500-000012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2" name="AutoShape 1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3" name="AutoShape 1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4" name="AutoShape 1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5" name="AutoShape 1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6" name="AutoShape 1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7" name="AutoShape 1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8" name="AutoShape 1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0" name="AutoShape 1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11" name="AutoShape 1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12" name="AutoShape 1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13" name="AutoShape 1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37</xdr:row>
      <xdr:rowOff>45720</xdr:rowOff>
    </xdr:to>
    <xdr:sp macro="" textlink="">
      <xdr:nvSpPr>
        <xdr:cNvPr id="14" name="AutoShap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6" name="AutoShape 1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7" name="AutoShape 1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36</xdr:row>
      <xdr:rowOff>0</xdr:rowOff>
    </xdr:to>
    <xdr:sp macro="" textlink="">
      <xdr:nvSpPr>
        <xdr:cNvPr id="20" name="AutoShape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4110" name="Rectangle 14" hidden="1">
          <a:extLst>
            <a:ext uri="{FF2B5EF4-FFF2-40B4-BE49-F238E27FC236}">
              <a16:creationId xmlns:a16="http://schemas.microsoft.com/office/drawing/2014/main" id="{00000000-0008-0000-0700-00000E1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2" name="AutoShape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3" name="AutoShape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5" name="AutoShape 1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9" name="AutoShape 1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0" name="AutoShape 1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2" name="AutoShape 1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3" name="AutoShape 14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4" name="AutoShape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60</xdr:row>
      <xdr:rowOff>0</xdr:rowOff>
    </xdr:to>
    <xdr:sp macro="" textlink="">
      <xdr:nvSpPr>
        <xdr:cNvPr id="16" name="AutoShape 1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7" name="AutoShape 1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8" name="AutoShape 1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9" name="AutoShape 1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20" name="AutoShape 14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95250</xdr:colOff>
      <xdr:row>51</xdr:row>
      <xdr:rowOff>0</xdr:rowOff>
    </xdr:to>
    <xdr:sp macro="" textlink="">
      <xdr:nvSpPr>
        <xdr:cNvPr id="3074" name="Rectangle 2" hidden="1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95250</xdr:colOff>
      <xdr:row>51</xdr:row>
      <xdr:rowOff>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6150" name="Rectangle 6" hidden="1">
          <a:extLst>
            <a:ext uri="{FF2B5EF4-FFF2-40B4-BE49-F238E27FC236}">
              <a16:creationId xmlns:a16="http://schemas.microsoft.com/office/drawing/2014/main" id="{00000000-0008-0000-0800-000006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" name="AutoShap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3" name="AutoShap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5" name="AutoShap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3" name="AutoShape 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5" name="AutoShape 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6" name="AutoShape 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8" name="AutoShape 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221" name="Rectangle 5" hidden="1">
          <a:extLst>
            <a:ext uri="{FF2B5EF4-FFF2-40B4-BE49-F238E27FC236}">
              <a16:creationId xmlns:a16="http://schemas.microsoft.com/office/drawing/2014/main" id="{00000000-0008-0000-0C00-0000052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31" Type="http://schemas.openxmlformats.org/officeDocument/2006/relationships/revisionLog" Target="revisionLog39.xml"/><Relationship Id="rId252" Type="http://schemas.openxmlformats.org/officeDocument/2006/relationships/revisionLog" Target="revisionLog60.xml"/><Relationship Id="rId273" Type="http://schemas.openxmlformats.org/officeDocument/2006/relationships/revisionLog" Target="revisionLog81.xml"/><Relationship Id="rId196" Type="http://schemas.openxmlformats.org/officeDocument/2006/relationships/revisionLog" Target="revisionLog4.xml"/><Relationship Id="rId200" Type="http://schemas.openxmlformats.org/officeDocument/2006/relationships/revisionLog" Target="revisionLog8.xml"/><Relationship Id="rId205" Type="http://schemas.openxmlformats.org/officeDocument/2006/relationships/revisionLog" Target="revisionLog13.xml"/><Relationship Id="rId213" Type="http://schemas.openxmlformats.org/officeDocument/2006/relationships/revisionLog" Target="revisionLog21.xml"/><Relationship Id="rId218" Type="http://schemas.openxmlformats.org/officeDocument/2006/relationships/revisionLog" Target="revisionLog26.xml"/><Relationship Id="rId226" Type="http://schemas.openxmlformats.org/officeDocument/2006/relationships/revisionLog" Target="revisionLog34.xml"/><Relationship Id="rId234" Type="http://schemas.openxmlformats.org/officeDocument/2006/relationships/revisionLog" Target="revisionLog42.xml"/><Relationship Id="rId239" Type="http://schemas.openxmlformats.org/officeDocument/2006/relationships/revisionLog" Target="revisionLog47.xml"/><Relationship Id="rId247" Type="http://schemas.openxmlformats.org/officeDocument/2006/relationships/revisionLog" Target="revisionLog55.xml"/><Relationship Id="rId221" Type="http://schemas.openxmlformats.org/officeDocument/2006/relationships/revisionLog" Target="revisionLog29.xml"/><Relationship Id="rId242" Type="http://schemas.openxmlformats.org/officeDocument/2006/relationships/revisionLog" Target="revisionLog50.xml"/><Relationship Id="rId250" Type="http://schemas.openxmlformats.org/officeDocument/2006/relationships/revisionLog" Target="revisionLog58.xml"/><Relationship Id="rId255" Type="http://schemas.openxmlformats.org/officeDocument/2006/relationships/revisionLog" Target="revisionLog63.xml"/><Relationship Id="rId263" Type="http://schemas.openxmlformats.org/officeDocument/2006/relationships/revisionLog" Target="revisionLog71.xml"/><Relationship Id="rId268" Type="http://schemas.openxmlformats.org/officeDocument/2006/relationships/revisionLog" Target="revisionLog76.xml"/><Relationship Id="rId271" Type="http://schemas.openxmlformats.org/officeDocument/2006/relationships/revisionLog" Target="revisionLog79.xml"/><Relationship Id="rId276" Type="http://schemas.openxmlformats.org/officeDocument/2006/relationships/revisionLog" Target="revisionLog84.xml"/><Relationship Id="rId284" Type="http://schemas.openxmlformats.org/officeDocument/2006/relationships/revisionLog" Target="revisionLog92.xml"/><Relationship Id="rId289" Type="http://schemas.openxmlformats.org/officeDocument/2006/relationships/revisionLog" Target="revisionLog97.xml"/><Relationship Id="rId194" Type="http://schemas.openxmlformats.org/officeDocument/2006/relationships/revisionLog" Target="revisionLog2.xml"/><Relationship Id="rId199" Type="http://schemas.openxmlformats.org/officeDocument/2006/relationships/revisionLog" Target="revisionLog7.xml"/><Relationship Id="rId203" Type="http://schemas.openxmlformats.org/officeDocument/2006/relationships/revisionLog" Target="revisionLog11.xml"/><Relationship Id="rId208" Type="http://schemas.openxmlformats.org/officeDocument/2006/relationships/revisionLog" Target="revisionLog16.xml"/><Relationship Id="rId216" Type="http://schemas.openxmlformats.org/officeDocument/2006/relationships/revisionLog" Target="revisionLog24.xml"/><Relationship Id="rId229" Type="http://schemas.openxmlformats.org/officeDocument/2006/relationships/revisionLog" Target="revisionLog37.xml"/><Relationship Id="rId237" Type="http://schemas.openxmlformats.org/officeDocument/2006/relationships/revisionLog" Target="revisionLog45.xml"/><Relationship Id="rId211" Type="http://schemas.openxmlformats.org/officeDocument/2006/relationships/revisionLog" Target="revisionLog19.xml"/><Relationship Id="rId224" Type="http://schemas.openxmlformats.org/officeDocument/2006/relationships/revisionLog" Target="revisionLog32.xml"/><Relationship Id="rId232" Type="http://schemas.openxmlformats.org/officeDocument/2006/relationships/revisionLog" Target="revisionLog40.xml"/><Relationship Id="rId240" Type="http://schemas.openxmlformats.org/officeDocument/2006/relationships/revisionLog" Target="revisionLog48.xml"/><Relationship Id="rId245" Type="http://schemas.openxmlformats.org/officeDocument/2006/relationships/revisionLog" Target="revisionLog53.xml"/><Relationship Id="rId253" Type="http://schemas.openxmlformats.org/officeDocument/2006/relationships/revisionLog" Target="revisionLog61.xml"/><Relationship Id="rId258" Type="http://schemas.openxmlformats.org/officeDocument/2006/relationships/revisionLog" Target="revisionLog66.xml"/><Relationship Id="rId261" Type="http://schemas.openxmlformats.org/officeDocument/2006/relationships/revisionLog" Target="revisionLog69.xml"/><Relationship Id="rId266" Type="http://schemas.openxmlformats.org/officeDocument/2006/relationships/revisionLog" Target="revisionLog74.xml"/><Relationship Id="rId274" Type="http://schemas.openxmlformats.org/officeDocument/2006/relationships/revisionLog" Target="revisionLog82.xml"/><Relationship Id="rId279" Type="http://schemas.openxmlformats.org/officeDocument/2006/relationships/revisionLog" Target="revisionLog87.xml"/><Relationship Id="rId287" Type="http://schemas.openxmlformats.org/officeDocument/2006/relationships/revisionLog" Target="revisionLog95.xml"/><Relationship Id="rId282" Type="http://schemas.openxmlformats.org/officeDocument/2006/relationships/revisionLog" Target="revisionLog90.xml"/><Relationship Id="rId197" Type="http://schemas.openxmlformats.org/officeDocument/2006/relationships/revisionLog" Target="revisionLog5.xml"/><Relationship Id="rId206" Type="http://schemas.openxmlformats.org/officeDocument/2006/relationships/revisionLog" Target="revisionLog14.xml"/><Relationship Id="rId219" Type="http://schemas.openxmlformats.org/officeDocument/2006/relationships/revisionLog" Target="revisionLog27.xml"/><Relationship Id="rId227" Type="http://schemas.openxmlformats.org/officeDocument/2006/relationships/revisionLog" Target="revisionLog35.xml"/><Relationship Id="rId201" Type="http://schemas.openxmlformats.org/officeDocument/2006/relationships/revisionLog" Target="revisionLog9.xml"/><Relationship Id="rId214" Type="http://schemas.openxmlformats.org/officeDocument/2006/relationships/revisionLog" Target="revisionLog22.xml"/><Relationship Id="rId222" Type="http://schemas.openxmlformats.org/officeDocument/2006/relationships/revisionLog" Target="revisionLog30.xml"/><Relationship Id="rId230" Type="http://schemas.openxmlformats.org/officeDocument/2006/relationships/revisionLog" Target="revisionLog38.xml"/><Relationship Id="rId235" Type="http://schemas.openxmlformats.org/officeDocument/2006/relationships/revisionLog" Target="revisionLog43.xml"/><Relationship Id="rId243" Type="http://schemas.openxmlformats.org/officeDocument/2006/relationships/revisionLog" Target="revisionLog51.xml"/><Relationship Id="rId248" Type="http://schemas.openxmlformats.org/officeDocument/2006/relationships/revisionLog" Target="revisionLog56.xml"/><Relationship Id="rId251" Type="http://schemas.openxmlformats.org/officeDocument/2006/relationships/revisionLog" Target="revisionLog59.xml"/><Relationship Id="rId256" Type="http://schemas.openxmlformats.org/officeDocument/2006/relationships/revisionLog" Target="revisionLog64.xml"/><Relationship Id="rId264" Type="http://schemas.openxmlformats.org/officeDocument/2006/relationships/revisionLog" Target="revisionLog72.xml"/><Relationship Id="rId269" Type="http://schemas.openxmlformats.org/officeDocument/2006/relationships/revisionLog" Target="revisionLog77.xml"/><Relationship Id="rId277" Type="http://schemas.openxmlformats.org/officeDocument/2006/relationships/revisionLog" Target="revisionLog85.xml"/><Relationship Id="rId285" Type="http://schemas.openxmlformats.org/officeDocument/2006/relationships/revisionLog" Target="revisionLog93.xml"/><Relationship Id="rId272" Type="http://schemas.openxmlformats.org/officeDocument/2006/relationships/revisionLog" Target="revisionLog80.xml"/><Relationship Id="rId280" Type="http://schemas.openxmlformats.org/officeDocument/2006/relationships/revisionLog" Target="revisionLog88.xml"/><Relationship Id="rId195" Type="http://schemas.openxmlformats.org/officeDocument/2006/relationships/revisionLog" Target="revisionLog3.xml"/><Relationship Id="rId209" Type="http://schemas.openxmlformats.org/officeDocument/2006/relationships/revisionLog" Target="revisionLog17.xml"/><Relationship Id="rId217" Type="http://schemas.openxmlformats.org/officeDocument/2006/relationships/revisionLog" Target="revisionLog25.xml"/><Relationship Id="rId204" Type="http://schemas.openxmlformats.org/officeDocument/2006/relationships/revisionLog" Target="revisionLog12.xml"/><Relationship Id="rId212" Type="http://schemas.openxmlformats.org/officeDocument/2006/relationships/revisionLog" Target="revisionLog20.xml"/><Relationship Id="rId220" Type="http://schemas.openxmlformats.org/officeDocument/2006/relationships/revisionLog" Target="revisionLog28.xml"/><Relationship Id="rId225" Type="http://schemas.openxmlformats.org/officeDocument/2006/relationships/revisionLog" Target="revisionLog33.xml"/><Relationship Id="rId233" Type="http://schemas.openxmlformats.org/officeDocument/2006/relationships/revisionLog" Target="revisionLog41.xml"/><Relationship Id="rId238" Type="http://schemas.openxmlformats.org/officeDocument/2006/relationships/revisionLog" Target="revisionLog46.xml"/><Relationship Id="rId241" Type="http://schemas.openxmlformats.org/officeDocument/2006/relationships/revisionLog" Target="revisionLog49.xml"/><Relationship Id="rId246" Type="http://schemas.openxmlformats.org/officeDocument/2006/relationships/revisionLog" Target="revisionLog54.xml"/><Relationship Id="rId254" Type="http://schemas.openxmlformats.org/officeDocument/2006/relationships/revisionLog" Target="revisionLog62.xml"/><Relationship Id="rId259" Type="http://schemas.openxmlformats.org/officeDocument/2006/relationships/revisionLog" Target="revisionLog67.xml"/><Relationship Id="rId267" Type="http://schemas.openxmlformats.org/officeDocument/2006/relationships/revisionLog" Target="revisionLog75.xml"/><Relationship Id="rId288" Type="http://schemas.openxmlformats.org/officeDocument/2006/relationships/revisionLog" Target="revisionLog96.xml"/><Relationship Id="rId262" Type="http://schemas.openxmlformats.org/officeDocument/2006/relationships/revisionLog" Target="revisionLog70.xml"/><Relationship Id="rId270" Type="http://schemas.openxmlformats.org/officeDocument/2006/relationships/revisionLog" Target="revisionLog78.xml"/><Relationship Id="rId275" Type="http://schemas.openxmlformats.org/officeDocument/2006/relationships/revisionLog" Target="revisionLog83.xml"/><Relationship Id="rId283" Type="http://schemas.openxmlformats.org/officeDocument/2006/relationships/revisionLog" Target="revisionLog91.xml"/><Relationship Id="rId198" Type="http://schemas.openxmlformats.org/officeDocument/2006/relationships/revisionLog" Target="revisionLog6.xml"/><Relationship Id="rId193" Type="http://schemas.openxmlformats.org/officeDocument/2006/relationships/revisionLog" Target="revisionLog1.xml"/><Relationship Id="rId202" Type="http://schemas.openxmlformats.org/officeDocument/2006/relationships/revisionLog" Target="revisionLog10.xml"/><Relationship Id="rId207" Type="http://schemas.openxmlformats.org/officeDocument/2006/relationships/revisionLog" Target="revisionLog15.xml"/><Relationship Id="rId210" Type="http://schemas.openxmlformats.org/officeDocument/2006/relationships/revisionLog" Target="revisionLog18.xml"/><Relationship Id="rId215" Type="http://schemas.openxmlformats.org/officeDocument/2006/relationships/revisionLog" Target="revisionLog23.xml"/><Relationship Id="rId223" Type="http://schemas.openxmlformats.org/officeDocument/2006/relationships/revisionLog" Target="revisionLog31.xml"/><Relationship Id="rId228" Type="http://schemas.openxmlformats.org/officeDocument/2006/relationships/revisionLog" Target="revisionLog36.xml"/><Relationship Id="rId236" Type="http://schemas.openxmlformats.org/officeDocument/2006/relationships/revisionLog" Target="revisionLog44.xml"/><Relationship Id="rId244" Type="http://schemas.openxmlformats.org/officeDocument/2006/relationships/revisionLog" Target="revisionLog52.xml"/><Relationship Id="rId249" Type="http://schemas.openxmlformats.org/officeDocument/2006/relationships/revisionLog" Target="revisionLog57.xml"/><Relationship Id="rId257" Type="http://schemas.openxmlformats.org/officeDocument/2006/relationships/revisionLog" Target="revisionLog65.xml"/><Relationship Id="rId278" Type="http://schemas.openxmlformats.org/officeDocument/2006/relationships/revisionLog" Target="revisionLog86.xml"/><Relationship Id="rId260" Type="http://schemas.openxmlformats.org/officeDocument/2006/relationships/revisionLog" Target="revisionLog68.xml"/><Relationship Id="rId265" Type="http://schemas.openxmlformats.org/officeDocument/2006/relationships/revisionLog" Target="revisionLog73.xml"/><Relationship Id="rId281" Type="http://schemas.openxmlformats.org/officeDocument/2006/relationships/revisionLog" Target="revisionLog89.xml"/><Relationship Id="rId286" Type="http://schemas.openxmlformats.org/officeDocument/2006/relationships/revisionLog" Target="revisionLog9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058178A-222D-4921-801B-9ADE05CB5076}" diskRevisions="1" revisionId="3226" version="98">
  <header guid="{0049AADD-C685-4C38-9B3D-E22ECA242AAA}" dateTime="2019-10-11T19:02:55" maxSheetId="17" userName="Berge, Knut Audun Monen" r:id="rId19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9F451D7-697B-4C5B-A09D-CE542C7A161F}" dateTime="2019-10-11T19:27:19" maxSheetId="17" userName="Berge, Knut Audun Monen" r:id="rId194" minRId="2192" maxRId="228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6815B12-9E65-4E82-BCC1-BC994216D64C}" dateTime="2019-10-11T19:27:40" maxSheetId="17" userName="Berge, Knut Audun Monen" r:id="rId19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C5F7104-170E-43F5-BCEB-BA8E1617F490}" dateTime="2019-10-11T19:43:58" maxSheetId="17" userName="Berge, Knut Audun Monen" r:id="rId196" minRId="2288" maxRId="229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16BC65A-779B-491B-92F1-0815459596D7}" dateTime="2019-10-11T20:25:15" maxSheetId="17" userName="Berge, Knut Audun Monen" r:id="rId197" minRId="229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A03A86CD-51B9-42CB-9C97-108203C53787}" dateTime="2019-10-11T20:41:00" maxSheetId="17" userName="Berge, Knut Audun Monen" r:id="rId198" minRId="229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B7CD05BC-EB82-47BD-880F-AB9A6D441BC9}" dateTime="2019-10-11T20:45:26" maxSheetId="17" userName="Berge, Knut Audun Monen" r:id="rId19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B2924B5-4ACD-4D7A-9903-55732C5A71DB}" dateTime="2019-10-12T10:59:03" maxSheetId="17" userName="Berge, Knut Audun Monen" r:id="rId200" minRId="2298" maxRId="229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954DADA-B054-4B82-A14E-B7F29FD6A0C3}" dateTime="2019-10-12T11:19:30" maxSheetId="17" userName="Berge, Knut Audun Monen" r:id="rId201" minRId="2300" maxRId="230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FF4475A4-3E20-40B7-A705-C2599DE99DE1}" dateTime="2019-10-12T11:25:17" maxSheetId="17" userName="Berge, Knut Audun Monen" r:id="rId202" minRId="230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4669EBDE-FA3F-4A7F-85DE-1441EE6A04AC}" dateTime="2019-10-12T11:58:03" maxSheetId="17" userName="Berge, Knut Audun Monen" r:id="rId203" minRId="2305" maxRId="230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FEF0C338-CF4B-4CC4-B5E1-FF3DD2785771}" dateTime="2019-10-12T12:06:42" maxSheetId="17" userName="Berge, Knut Audun Monen" r:id="rId204" minRId="2307" maxRId="231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C2B66AC6-6276-443D-BEEC-E7574E4E0C55}" dateTime="2019-10-12T12:17:27" maxSheetId="17" userName="Berge, Knut Audun Monen" r:id="rId205" minRId="2315" maxRId="232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2244B9D-4B36-46C1-B934-3013DBCE5B12}" dateTime="2019-10-12T12:17:40" maxSheetId="17" userName="Berge, Knut Audun Monen" r:id="rId20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024B72F-EAF3-4E41-ACA5-681071CA581F}" dateTime="2019-10-12T12:53:33" maxSheetId="17" userName="Berge, Knut Audun Monen" r:id="rId207" minRId="2326" maxRId="240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FBEA8D95-6AA5-4616-BE1C-D94A2D6AEF82}" dateTime="2019-10-12T12:59:46" maxSheetId="17" userName="Berge, Knut Audun Monen" r:id="rId208" minRId="2406" maxRId="2408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935806A-7EC5-44D5-92A8-517DC1F640A1}" dateTime="2019-10-12T13:01:26" maxSheetId="17" userName="Berge, Knut Audun Monen" r:id="rId209" minRId="2409" maxRId="242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113E134-19D2-481B-9DB6-75E63722CD27}" dateTime="2019-10-12T14:08:53" maxSheetId="17" userName="Berge, Knut Audun Monen" r:id="rId210" minRId="2421" maxRId="242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1F63BCC-E9B0-4042-A0A3-C22B51AB67FD}" dateTime="2019-10-12T14:09:12" maxSheetId="17" userName="Berge, Knut Audun Monen" r:id="rId211" minRId="2424" maxRId="243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0FAB8CB-0D18-440A-AE91-46590C3B3728}" dateTime="2019-10-12T15:23:32" maxSheetId="17" userName="Berge, Knut Audun Monen" r:id="rId212" minRId="2431" maxRId="244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024565D-8050-4BD4-82F5-C3A0D4CEDAF7}" dateTime="2019-10-12T15:27:01" maxSheetId="17" userName="Berge, Knut Audun Monen" r:id="rId213" minRId="2444" maxRId="245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0BB48FA-4867-4787-B445-1948586CC201}" dateTime="2019-10-12T15:28:46" maxSheetId="17" userName="Berge, Knut Audun Monen" r:id="rId21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2A58187-0E8B-44CF-980E-CACD4FC2774D}" dateTime="2019-10-12T15:31:26" maxSheetId="17" userName="Berge, Knut Audun Monen" r:id="rId215" minRId="2462" maxRId="248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C1648166-FE99-40A1-8C4E-1828B0E2C0F5}" dateTime="2019-10-12T15:46:10" maxSheetId="17" userName="Berge, Knut Audun Monen" r:id="rId216" minRId="2481" maxRId="2502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B2CEF45-6108-489A-97AC-955E6AA54120}" dateTime="2019-10-12T15:47:23" maxSheetId="17" userName="Berge, Knut Audun Monen" r:id="rId217" minRId="2505" maxRId="250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3669C61-277C-45B5-B5C2-EF111A158F71}" dateTime="2019-10-12T15:58:56" maxSheetId="17" userName="Berge, Knut Audun Monen" r:id="rId218" minRId="2509" maxRId="255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33300A6-C0A8-40A3-9BC6-0AEA3FD8EA32}" dateTime="2019-10-12T16:12:06" maxSheetId="17" userName="Berge, Knut Audun Monen" r:id="rId219" minRId="2554" maxRId="256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B28A8E2-4FDD-4E28-B701-479390A07555}" dateTime="2019-10-12T16:17:39" maxSheetId="17" userName="Berge, Knut Audun Monen" r:id="rId220" minRId="2569" maxRId="2572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9257FC4-BE2F-4132-B8CF-D09618C57969}" dateTime="2019-10-12T16:25:29" maxSheetId="17" userName="Berge, Knut Audun Monen" r:id="rId221" minRId="2573" maxRId="2578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B4115769-07F4-4CEF-A09B-D7B7F583FB63}" dateTime="2019-10-12T16:32:46" maxSheetId="17" userName="Berge, Knut Audun Monen" r:id="rId222" minRId="2579" maxRId="259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0C76476-6B43-4949-B7A8-2EEEE873CBF6}" dateTime="2019-10-12T16:37:25" maxSheetId="17" userName="Berge, Knut Audun Monen" r:id="rId223" minRId="2596" maxRId="260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67376BD-8B77-4B38-ABEB-2DED997B3334}" dateTime="2019-10-12T16:47:46" maxSheetId="17" userName="Berge, Knut Audun Monen" r:id="rId224" minRId="2601" maxRId="260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B0557E3C-2443-4A66-B1A4-CF38AC18105C}" dateTime="2019-10-12T16:49:39" maxSheetId="17" userName="Berge, Knut Audun Monen" r:id="rId225" minRId="2608" maxRId="261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A7512D7-17A1-49AB-8425-44B300B67386}" dateTime="2019-10-12T16:50:31" maxSheetId="17" userName="Berge, Knut Audun Monen" r:id="rId226" minRId="2611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8116544-F3B3-4D6D-8B86-3457B74AC6A6}" dateTime="2019-10-12T17:02:02" maxSheetId="17" userName="Berge, Knut Audun Monen" r:id="rId227" minRId="2612" maxRId="262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FBBD956-18AC-44A0-ABB2-3F43FE7DB2C6}" dateTime="2019-10-12T17:03:49" maxSheetId="17" userName="Berge, Knut Audun Monen" r:id="rId228" minRId="2629" maxRId="2636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77F3608-D0B5-4524-93F5-16FE6D49C9DB}" dateTime="2019-10-12T17:04:31" maxSheetId="17" userName="Berge, Knut Audun Monen" r:id="rId229" minRId="263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7706576-BE63-4115-B748-BDFCA5B7B53C}" dateTime="2019-10-12T17:15:44" maxSheetId="17" userName="Berge, Knut Audun Monen" r:id="rId230" minRId="2638" maxRId="265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25D0133-C815-4F99-80CE-4874FEB4AF30}" dateTime="2019-10-12T17:26:17" maxSheetId="17" userName="Berge, Knut Audun Monen" r:id="rId231" minRId="2655" maxRId="2661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9763E47-FC65-4F9F-9656-9439E6309C4C}" dateTime="2019-10-12T17:28:36" maxSheetId="17" userName="Berge, Knut Audun Monen" r:id="rId232" minRId="2664" maxRId="266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A3E9AA4A-605C-4C96-8E92-90D304A8E774}" dateTime="2019-10-12T17:34:34" maxSheetId="17" userName="Berge, Knut Audun Monen" r:id="rId233" minRId="2668" maxRId="2672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105FF19-1931-4AF8-8758-A849D656EA54}" dateTime="2019-10-12T17:41:54" maxSheetId="17" userName="Berge, Knut Audun Monen" r:id="rId234" minRId="2673" maxRId="267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81E097D-49F3-42EB-A6B9-618B4F6224D7}" dateTime="2019-10-12T18:34:59" maxSheetId="17" userName="Berge, Knut Audun Monen" r:id="rId235" minRId="2678" maxRId="269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89001ED-60BC-4E41-9369-6341ECC49A76}" dateTime="2019-10-12T18:36:21" maxSheetId="17" userName="Berge, Knut Audun Monen" r:id="rId236" minRId="2697" maxRId="2701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965A1EA-385E-48C9-990E-051A93BB61DE}" dateTime="2019-10-12T18:38:10" maxSheetId="17" userName="Berge, Knut Audun Monen" r:id="rId237" minRId="2702" maxRId="270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88DB9C2-2221-4515-B42F-A87C912947BC}" dateTime="2019-10-12T18:43:00" maxSheetId="17" userName="Berge, Knut Audun Monen" r:id="rId238" minRId="270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773CB5B-FB23-4651-90CA-FF89CD2066F7}" dateTime="2019-10-12T18:43:13" maxSheetId="17" userName="Berge, Knut Audun Monen" r:id="rId239" minRId="2708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4D0DF7F5-25CA-443A-80A1-017168DF7F14}" dateTime="2019-10-12T18:46:28" maxSheetId="17" userName="Berge, Knut Audun Monen" r:id="rId24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91C2E074-8233-4FF2-9A45-02B22A06E304}" dateTime="2019-10-12T19:02:08" maxSheetId="17" userName="Berge, Knut Audun Monen" r:id="rId241" minRId="2709" maxRId="2765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592C266-E373-4F09-BEC5-35CADE836660}" dateTime="2019-10-12T19:11:12" maxSheetId="17" userName="Berge, Knut Audun Monen" r:id="rId242" minRId="2768" maxRId="278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0CC034AF-E2D0-4EFC-B3D9-49243EFD0CE5}" dateTime="2019-10-12T19:14:52" maxSheetId="17" userName="Berge, Knut Audun Monen" r:id="rId243" minRId="2792" maxRId="279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9E0DDB98-D8F5-46DD-A8DC-5DC12C25E49E}" dateTime="2019-10-12T19:22:21" maxSheetId="17" userName="Berge, Knut Audun Monen" r:id="rId244" minRId="2802" maxRId="280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01AA218-8B8A-4530-8E6C-615A3CC1F22F}" dateTime="2019-10-12T19:27:07" maxSheetId="17" userName="Berge, Knut Audun Monen" r:id="rId245" minRId="2804" maxRId="280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365DAB8-0E15-45AF-93C9-1057E07CA285}" dateTime="2019-10-12T19:29:18" maxSheetId="17" userName="Berge, Knut Audun Monen" r:id="rId246" minRId="2810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0F65E3F-55F7-44B5-BF2C-E1467CC37BB7}" dateTime="2019-10-12T19:32:55" maxSheetId="17" userName="Berge, Knut Audun Monen" r:id="rId247" minRId="281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A1BB4C6C-E1B3-412D-BBBB-AC2405DADEE0}" dateTime="2019-10-12T19:39:26" maxSheetId="17" userName="Berge, Knut Audun Monen" r:id="rId248" minRId="2816" maxRId="281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D18378B-5C09-4936-9A09-D22BE0FC9F99}" dateTime="2019-10-12T19:45:13" maxSheetId="17" userName="Berge, Knut Audun Monen" r:id="rId249" minRId="2818" maxRId="2819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EFD2540-B4D0-455A-BAB3-5C7675F5CE11}" dateTime="2019-10-13T11:07:36" maxSheetId="17" userName="Berge, Knut Audun Monen" r:id="rId250" minRId="2820" maxRId="2887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39120EE8-748A-40FC-8037-A2266E7074F8}" dateTime="2019-10-13T11:09:32" maxSheetId="17" userName="Berge, Knut Audun Monen" r:id="rId251" minRId="2890" maxRId="2892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AA4C4772-F300-423A-9DDC-BA808781035C}" dateTime="2019-10-13T11:16:14" maxSheetId="17" userName="Berge, Knut Audun Monen" r:id="rId252" minRId="2893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B6398031-996C-4256-9AAA-D47699AE724F}" dateTime="2019-10-13T11:24:09" maxSheetId="17" userName="Berge, Knut Audun Monen" r:id="rId253" minRId="2894" maxRId="2901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CFBA5E38-2E02-4B94-9A94-B87695321971}" dateTime="2019-10-13T11:26:14" maxSheetId="17" userName="Berge, Knut Audun Monen" r:id="rId254" minRId="2904">
    <sheetIdMap count="16">
      <sheetId val="1"/>
      <sheetId val="2"/>
      <sheetId val="3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68676E0-C08F-44F3-9D7F-75BCFCE444A3}" dateTime="2019-10-13T11:30:46" maxSheetId="18" userName="Berge, Knut Audun Monen" r:id="rId255" minRId="2907" maxRId="2970">
    <sheetIdMap count="17">
      <sheetId val="1"/>
      <sheetId val="2"/>
      <sheetId val="3"/>
      <sheetId val="6"/>
      <sheetId val="10"/>
      <sheetId val="4"/>
      <sheetId val="5"/>
      <sheetId val="8"/>
      <sheetId val="16"/>
      <sheetId val="12"/>
      <sheetId val="17"/>
      <sheetId val="7"/>
      <sheetId val="9"/>
      <sheetId val="11"/>
      <sheetId val="13"/>
      <sheetId val="14"/>
      <sheetId val="15"/>
    </sheetIdMap>
  </header>
  <header guid="{4F89BCF7-27D5-4513-9B5D-2566E2BE2ACD}" dateTime="2019-10-13T11:37:19" maxSheetId="18" userName="Berge, Knut Audun Monen" r:id="rId256" minRId="2973" maxRId="2976">
    <sheetIdMap count="17">
      <sheetId val="1"/>
      <sheetId val="2"/>
      <sheetId val="3"/>
      <sheetId val="6"/>
      <sheetId val="10"/>
      <sheetId val="4"/>
      <sheetId val="5"/>
      <sheetId val="8"/>
      <sheetId val="16"/>
      <sheetId val="12"/>
      <sheetId val="17"/>
      <sheetId val="7"/>
      <sheetId val="9"/>
      <sheetId val="11"/>
      <sheetId val="13"/>
      <sheetId val="14"/>
      <sheetId val="15"/>
    </sheetIdMap>
  </header>
  <header guid="{08934724-ABD9-46B0-8EEA-2558A64A69B4}" dateTime="2019-10-13T11:58:11" maxSheetId="18" userName="Berge, Knut Audun Monen" r:id="rId257" minRId="2977" maxRId="3073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FC06EEB-2FAF-49A4-9552-343FA550BE4B}" dateTime="2019-10-13T13:22:01" maxSheetId="18" userName="Berge, Knut Audun Monen" r:id="rId258" minRId="307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8748316-A771-4035-A371-78BA03ACFE15}" dateTime="2019-10-13T13:24:37" maxSheetId="18" userName="Berge, Knut Audun Monen" r:id="rId259" minRId="3077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C4196221-E914-40C0-A97D-8B5E3A85C495}" dateTime="2019-10-13T13:27:39" maxSheetId="18" userName="Berge, Knut Audun Monen" r:id="rId260" minRId="3078" maxRId="3079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184FAD7-09C5-4B26-BEAE-AD3543CC3903}" dateTime="2019-10-13T13:31:08" maxSheetId="18" userName="Berge, Knut Audun Monen" r:id="rId261" minRId="3080" maxRId="3081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10BFF1FA-5B36-4603-9E57-ABEF5A271C30}" dateTime="2019-10-13T14:02:50" maxSheetId="18" userName="Berge, Knut Audun Monen" r:id="rId262" minRId="3084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1BA3019-D34F-4CD6-87A9-B6157BCC2EF2}" dateTime="2019-10-13T14:07:37" maxSheetId="18" userName="Berge, Knut Audun Monen" r:id="rId263" minRId="3085" maxRId="3089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9D746D50-2DCC-411B-BE80-EDB4C680EEDB}" dateTime="2019-10-13T14:10:21" maxSheetId="18" userName="Berge, Knut Audun Monen" r:id="rId264" minRId="3090" maxRId="309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81FFA6F6-F3CD-4FB6-A41E-21676AFFEAF5}" dateTime="2019-10-13T14:11:23" maxSheetId="18" userName="Berge, Knut Audun Monen" r:id="rId265" minRId="3097" maxRId="3101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243D632-BCE5-4DC5-97F4-9B1D7473EDDE}" dateTime="2019-10-13T14:13:02" maxSheetId="18" userName="Berge, Knut Audun Monen" r:id="rId266" minRId="3102" maxRId="3104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0713727B-B98F-4495-9A9D-769338F1BB89}" dateTime="2019-10-13T14:13:16" maxSheetId="18" userName="Berge, Knut Audun Monen" r:id="rId267" minRId="3105" maxRId="310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12430E8-1CD1-481B-8D3F-743DF9B29A77}" dateTime="2019-10-13T14:13:54" maxSheetId="18" userName="Berge, Knut Audun Monen" r:id="rId268" minRId="3107" maxRId="3113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CD1A882E-70D1-4714-8B62-475203D27FBC}" dateTime="2019-10-13T14:17:09" maxSheetId="18" userName="Berge, Knut Audun Monen" r:id="rId269" minRId="3114" maxRId="3122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A29362EA-8B30-4298-8A1C-58DC4EEFBFC9}" dateTime="2019-10-13T14:19:43" maxSheetId="18" userName="Berge, Knut Audun Monen" r:id="rId270" minRId="3123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385F758-0AF5-4DBF-B3A3-6590983E4784}" dateTime="2019-10-13T14:55:05" maxSheetId="18" userName="Berge, Knut Audun Monen" r:id="rId271" minRId="3126" maxRId="3179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897DDF3-46CD-4131-B856-160DED3BADFD}" dateTime="2019-10-13T15:06:48" maxSheetId="18" userName="Berge, Knut Audun Monen" r:id="rId272" minRId="3182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C10A8E9-7669-4946-A05E-794B0C16C868}" dateTime="2019-10-13T15:15:34" maxSheetId="18" userName="Berge, Knut Audun Monen" r:id="rId273" minRId="3183" maxRId="318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963800FE-0336-4A3B-A136-860CCDB90A28}" dateTime="2019-10-13T15:24:00" maxSheetId="18" userName="Berge, Knut Audun Monen" r:id="rId274" minRId="3189" maxRId="3192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0CC5DC1-0A2F-4C25-B74E-1F0F4FBFF87C}" dateTime="2019-10-24T18:05:20" maxSheetId="18" userName="Berge, Knut Audun Monen" r:id="rId275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B7BFBAB-F51A-4DDB-8D46-7541D6449FF3}" dateTime="2019-10-24T18:25:34" maxSheetId="18" userName="Berge, Knut Audun Monen" r:id="rId276" minRId="3193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74EACCA4-8019-4BC9-BB01-DE3B2452B12C}" dateTime="2019-10-24T20:24:48" maxSheetId="18" userName="Berge, Knut Audun Monen" r:id="rId277" minRId="3194" maxRId="3195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07BE1B54-2656-4C63-A761-79FA8E3BB217}" dateTime="2019-10-29T20:49:13" maxSheetId="18" userName="Berge, Knut Audun Monen" r:id="rId278" minRId="319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E61DFA95-E20F-48A1-A682-CD753D0DAEAA}" dateTime="2019-10-29T20:51:49" maxSheetId="18" userName="Berge, Knut Audun Monen" r:id="rId279" minRId="3199" maxRId="3200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A094190-FCE1-479B-A26F-84018421A3C3}" dateTime="2019-10-29T20:57:39" maxSheetId="18" userName="Berge, Knut Audun Monen" r:id="rId280" minRId="3201" maxRId="3203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2948F0AA-8A7F-4230-A115-0711F2026AC4}" dateTime="2019-10-29T21:01:58" maxSheetId="18" userName="Berge, Knut Audun Monen" r:id="rId281" minRId="3206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BED26DE-0113-4477-9F2A-012DBDBABFCA}" dateTime="2019-11-01T07:46:22" maxSheetId="18" userName="Berge, Knut Audun Monen" r:id="rId282" minRId="3207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6F9F9BF6-8862-4849-BC30-D74E6E9E8526}" dateTime="2019-11-01T07:46:45" maxSheetId="18" userName="Berge, Knut Audun Monen" r:id="rId283" minRId="3210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D103C7E1-85D6-46B7-BD13-2744AAD6B18D}" dateTime="2019-11-01T07:47:17" maxSheetId="18" userName="Berge, Knut Audun Monen" r:id="rId284" minRId="3211">
    <sheetIdMap count="17">
      <sheetId val="1"/>
      <sheetId val="2"/>
      <sheetId val="3"/>
      <sheetId val="17"/>
      <sheetId val="6"/>
      <sheetId val="10"/>
      <sheetId val="4"/>
      <sheetId val="5"/>
      <sheetId val="8"/>
      <sheetId val="16"/>
      <sheetId val="12"/>
      <sheetId val="7"/>
      <sheetId val="9"/>
      <sheetId val="11"/>
      <sheetId val="13"/>
      <sheetId val="14"/>
      <sheetId val="15"/>
    </sheetIdMap>
  </header>
  <header guid="{53DDF665-DEE3-4A1A-9DD6-BA3E36A01152}" dateTime="2019-11-01T07:50:43" maxSheetId="18" userName="Berge, Knut Audun Monen" r:id="rId285">
    <sheetIdMap count="17">
      <sheetId val="1"/>
      <sheetId val="2"/>
      <sheetId val="3"/>
      <sheetId val="4"/>
      <sheetId val="5"/>
      <sheetId val="6"/>
      <sheetId val="10"/>
      <sheetId val="8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E72918D7-9ABF-4F04-84A9-FA13DD4A1634}" dateTime="2019-11-01T07:51:45" maxSheetId="18" userName="Berge, Knut Audun Monen" r:id="rId286">
    <sheetIdMap count="17">
      <sheetId val="1"/>
      <sheetId val="2"/>
      <sheetId val="3"/>
      <sheetId val="4"/>
      <sheetId val="5"/>
      <sheetId val="6"/>
      <sheetId val="10"/>
      <sheetId val="8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C90801D-1CF2-4276-9807-B3B5797024B5}" dateTime="2019-11-01T07:57:05" maxSheetId="18" userName="Berge, Knut Audun Monen" r:id="rId287" minRId="3214">
    <sheetIdMap count="17">
      <sheetId val="1"/>
      <sheetId val="2"/>
      <sheetId val="3"/>
      <sheetId val="4"/>
      <sheetId val="5"/>
      <sheetId val="6"/>
      <sheetId val="10"/>
      <sheetId val="8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8A4B0035-6C08-48DA-B5D4-25CC04C826E0}" dateTime="2019-11-01T09:00:49" maxSheetId="18" userName="Berge, Knut Audun Monen" r:id="rId288" minRId="3218" maxRId="3219">
    <sheetIdMap count="17">
      <sheetId val="1"/>
      <sheetId val="2"/>
      <sheetId val="3"/>
      <sheetId val="4"/>
      <sheetId val="5"/>
      <sheetId val="6"/>
      <sheetId val="10"/>
      <sheetId val="8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B058178A-222D-4921-801B-9ADE05CB5076}" dateTime="2019-11-01T12:04:32" maxSheetId="18" userName="CISV Norge 1" r:id="rId289" minRId="3223">
    <sheetIdMap count="17">
      <sheetId val="1"/>
      <sheetId val="2"/>
      <sheetId val="3"/>
      <sheetId val="4"/>
      <sheetId val="5"/>
      <sheetId val="6"/>
      <sheetId val="10"/>
      <sheetId val="8"/>
      <sheetId val="16"/>
      <sheetId val="7"/>
      <sheetId val="17"/>
      <sheetId val="12"/>
      <sheetId val="9"/>
      <sheetId val="11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04" sId="8" numFmtId="13">
    <oc r="D119">
      <v>0.8</v>
    </oc>
    <nc r="D119">
      <v>0.85</v>
    </nc>
  </rcc>
  <rfmt sheetId="8" sqref="D119">
    <dxf>
      <fill>
        <patternFill>
          <bgColor rgb="FF92D050"/>
        </patternFill>
      </fill>
    </dxf>
  </rfmt>
  <rfmt sheetId="8" sqref="D118">
    <dxf>
      <fill>
        <patternFill>
          <bgColor rgb="FF92D050"/>
        </patternFill>
      </fill>
    </dxf>
  </rfmt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H31" start="0" length="2147483647">
    <dxf>
      <font>
        <b/>
      </font>
    </dxf>
  </rfmt>
  <rfmt sheetId="4" sqref="H33" start="0" length="2147483647">
    <dxf>
      <font>
        <b/>
      </font>
    </dxf>
  </rfmt>
  <rfmt sheetId="4" sqref="H35" start="0" length="2147483647">
    <dxf>
      <font>
        <b/>
      </font>
    </dxf>
  </rfmt>
  <rfmt sheetId="4" sqref="H38" start="0" length="2147483647">
    <dxf>
      <font>
        <b/>
      </font>
    </dxf>
  </rfmt>
  <rfmt sheetId="4" sqref="H29" start="0" length="2147483647">
    <dxf>
      <font>
        <b/>
      </font>
    </dxf>
  </rfmt>
  <rfmt sheetId="4" sqref="H42" start="0" length="2147483647">
    <dxf>
      <font>
        <b/>
      </font>
    </dxf>
  </rfmt>
  <rfmt sheetId="4" sqref="H46" start="0" length="2147483647">
    <dxf>
      <font>
        <b/>
      </font>
    </dxf>
  </rfmt>
  <rfmt sheetId="4" sqref="H44" start="0" length="2147483647">
    <dxf>
      <font>
        <b/>
      </font>
    </dxf>
  </rfmt>
  <rcc rId="2305" sId="2">
    <nc r="H49">
      <f>(Program!H31+Program!H33+Program!H35+Program!H38+Program!H29+Program!H42+Program!H44+Program!H46)*0.5</f>
    </nc>
  </rcc>
  <rcc rId="2306" sId="2">
    <oc r="H63">
      <f>Program!H31+Program!H33+Program!H35+Program!H38+Program!H29+Program!H42+Program!H46</f>
    </oc>
    <nc r="H63">
      <f>(Program!H31+Program!H33+Program!H35+Program!H38+Program!H29+Program!H42+Program!H44+Program!H46)*0.5</f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07" sId="8">
    <oc r="C42">
      <v>9</v>
    </oc>
    <nc r="C42">
      <v>7</v>
    </nc>
  </rcc>
  <rcc rId="2308" sId="8">
    <oc r="E42">
      <v>4</v>
    </oc>
    <nc r="E42">
      <v>7</v>
    </nc>
  </rcc>
  <rcc rId="2309" sId="8">
    <oc r="F42">
      <v>14</v>
    </oc>
    <nc r="F42">
      <v>18</v>
    </nc>
  </rcc>
  <rfmt sheetId="8" sqref="B42:F42" start="0" length="2147483647">
    <dxf>
      <font>
        <b/>
      </font>
    </dxf>
  </rfmt>
  <rcc rId="2310" sId="8">
    <oc r="B43">
      <v>29</v>
    </oc>
    <nc r="B43">
      <v>31</v>
    </nc>
  </rcc>
  <rfmt sheetId="8" sqref="B42:B44" start="0" length="2147483647">
    <dxf>
      <font>
        <b val="0"/>
        <family val="2"/>
      </font>
    </dxf>
  </rfmt>
  <rfmt sheetId="8" sqref="B42:B44">
    <dxf>
      <fill>
        <patternFill>
          <bgColor rgb="FF92D050"/>
        </patternFill>
      </fill>
    </dxf>
  </rfmt>
  <rcc rId="2311" sId="8">
    <oc r="B48">
      <v>3</v>
    </oc>
    <nc r="B48">
      <v>2</v>
    </nc>
  </rcc>
  <rfmt sheetId="8" sqref="B48">
    <dxf>
      <fill>
        <patternFill>
          <bgColor rgb="FF92D050"/>
        </patternFill>
      </fill>
    </dxf>
  </rfmt>
  <rcc rId="2312" sId="8">
    <oc r="C47">
      <v>4</v>
    </oc>
    <nc r="C47">
      <v>3</v>
    </nc>
  </rcc>
  <rcc rId="2313" sId="8">
    <oc r="D47">
      <v>8</v>
    </oc>
    <nc r="D47">
      <v>6</v>
    </nc>
  </rcc>
  <rcc rId="2314" sId="8">
    <oc r="F47">
      <v>10</v>
    </oc>
    <nc r="F47">
      <v>9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5" sId="8">
    <oc r="B51">
      <v>3</v>
    </oc>
    <nc r="B51">
      <v>5</v>
    </nc>
  </rcc>
  <rcc rId="2316" sId="8">
    <oc r="B54">
      <v>8</v>
    </oc>
    <nc r="B54">
      <v>5</v>
    </nc>
  </rcc>
  <rfmt sheetId="8" sqref="B51">
    <dxf>
      <fill>
        <patternFill>
          <bgColor rgb="FF92D050"/>
        </patternFill>
      </fill>
    </dxf>
  </rfmt>
  <rcc rId="2317" sId="8">
    <oc r="B55">
      <v>2</v>
    </oc>
    <nc r="B55">
      <v>6</v>
    </nc>
  </rcc>
  <rcc rId="2318" sId="8">
    <oc r="B56">
      <v>4</v>
    </oc>
    <nc r="B56">
      <v>3</v>
    </nc>
  </rcc>
  <rcc rId="2319" sId="8">
    <oc r="B57">
      <v>1</v>
    </oc>
    <nc r="B57">
      <v>2</v>
    </nc>
  </rcc>
  <rcc rId="2320" sId="8">
    <oc r="B58">
      <v>11</v>
    </oc>
    <nc r="B58">
      <f>9+4</f>
    </nc>
  </rcc>
  <rcc rId="2321" sId="8">
    <oc r="B59">
      <v>14</v>
    </oc>
    <nc r="B59">
      <v>7</v>
    </nc>
  </rcc>
  <rfmt sheetId="8" sqref="B54:B60" start="0" length="2147483647">
    <dxf>
      <font>
        <b/>
        <family val="2"/>
      </font>
    </dxf>
  </rfmt>
  <rfmt sheetId="8" sqref="B54:B60" start="0" length="2147483647">
    <dxf>
      <font>
        <b val="0"/>
      </font>
    </dxf>
  </rfmt>
  <rfmt sheetId="8" sqref="B54:B60">
    <dxf>
      <fill>
        <patternFill>
          <bgColor rgb="FF92D050"/>
        </patternFill>
      </fill>
    </dxf>
  </rfmt>
  <rfmt sheetId="8" sqref="B61" start="0" length="2147483647">
    <dxf>
      <font>
        <b/>
        <family val="2"/>
      </font>
    </dxf>
  </rfmt>
  <rcc rId="2322" sId="8" odxf="1" dxf="1">
    <nc r="B61">
      <v>1</v>
    </nc>
    <ndxf>
      <font>
        <b val="0"/>
        <family val="2"/>
      </font>
      <fill>
        <patternFill>
          <bgColor rgb="FF92D050"/>
        </patternFill>
      </fill>
    </ndxf>
  </rcc>
  <rcc rId="2323" sId="8">
    <oc r="B60">
      <v>3</v>
    </oc>
    <nc r="B60">
      <v>2</v>
    </nc>
  </rcc>
  <rfmt sheetId="8" sqref="B47">
    <dxf>
      <fill>
        <patternFill>
          <bgColor rgb="FF92D050"/>
        </patternFill>
      </fill>
    </dxf>
  </rfmt>
  <rfmt sheetId="8" sqref="B64">
    <dxf>
      <fill>
        <patternFill>
          <bgColor rgb="FF92D050"/>
        </patternFill>
      </fill>
    </dxf>
  </rfmt>
  <rfmt sheetId="8" sqref="B65">
    <dxf>
      <fill>
        <patternFill>
          <bgColor rgb="FF92D050"/>
        </patternFill>
      </fill>
    </dxf>
  </rfmt>
  <rcc rId="2324" sId="8" numFmtId="4">
    <oc r="B69">
      <v>4</v>
    </oc>
    <nc r="B69">
      <v>6</v>
    </nc>
  </rcc>
  <rcc rId="2325" sId="8" numFmtId="4">
    <nc r="B70">
      <v>2</v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66 B69:B73">
    <dxf>
      <fill>
        <patternFill>
          <bgColor rgb="FF92D050"/>
        </patternFill>
      </fill>
    </dxf>
  </rfmt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26" sId="8" odxf="1" dxf="1">
    <nc r="H80" t="inlineStr">
      <is>
        <t>Village</t>
      </is>
    </nc>
    <odxf>
      <alignment vertical="bottom"/>
      <border outline="0">
        <left/>
        <right/>
        <top/>
        <bottom/>
      </border>
    </odxf>
    <ndxf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27" sId="8" odxf="1" dxf="1">
    <nc r="H81" t="inlineStr">
      <is>
        <t>Step Up</t>
      </is>
    </nc>
    <odxf>
      <alignment vertical="bottom"/>
      <border outline="0">
        <left/>
        <right/>
        <top/>
        <bottom/>
      </border>
    </odxf>
    <ndxf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28" sId="8" odxf="1" dxf="1">
    <nc r="H82" t="inlineStr">
      <is>
        <t>Youth Meeting 12-15år 8 dager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29" sId="8" odxf="1" dxf="1">
    <nc r="H83" t="inlineStr">
      <is>
        <t>Youth Meeting 12-15år 15 dager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30" sId="8" odxf="1" dxf="1">
    <nc r="H84" t="inlineStr">
      <is>
        <t>Youth meeting 16+ 8 dager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31" sId="8" odxf="1" dxf="1">
    <nc r="H85" t="inlineStr">
      <is>
        <t>Youth meeting 16+ 15 dager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332" sId="8" odxf="1" dxf="1">
    <nc r="H86" t="inlineStr">
      <is>
        <t>Seminarleir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8" sqref="H79">
    <dxf>
      <alignment wrapText="1"/>
    </dxf>
  </rfmt>
  <rm rId="2333" sheetId="8" source="H81:H86" destination="H82:H87" sourceSheetId="8">
    <rfmt sheetId="8" sqref="H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</rm>
  <rcc rId="2334" sId="8" odxf="1" dxf="1">
    <nc r="H81" t="inlineStr">
      <is>
        <t>JC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335" sId="8">
    <nc r="I79" t="inlineStr">
      <is>
        <t>Del IO</t>
      </is>
    </nc>
  </rcc>
  <rcc rId="2336" sId="8">
    <nc r="J79" t="inlineStr">
      <is>
        <t>Del arrangør</t>
      </is>
    </nc>
  </rcc>
  <rcc rId="2337" sId="8">
    <nc r="I80">
      <f>792.43</f>
    </nc>
  </rcc>
  <rcc rId="2338" sId="8">
    <nc r="J80">
      <f>806.69</f>
    </nc>
  </rcc>
  <rcc rId="2339" sId="8">
    <nc r="I81">
      <f>192.09</f>
    </nc>
  </rcc>
  <rcc rId="2340" sId="8">
    <nc r="J81">
      <f>201.67</f>
    </nc>
  </rcc>
  <rcc rId="2341" sId="8">
    <nc r="I82">
      <f>672.39</f>
    </nc>
  </rcc>
  <rcc rId="2342" sId="8">
    <nc r="J82">
      <f>662.63</f>
    </nc>
  </rcc>
  <rcc rId="2343" sId="8">
    <nc r="I83">
      <f>425.81</f>
    </nc>
  </rcc>
  <rcc rId="2344" sId="8">
    <nc r="J83">
      <f>345.72</f>
    </nc>
  </rcc>
  <rcc rId="2345" sId="8">
    <nc r="I85">
      <f>67.69</f>
    </nc>
  </rcc>
  <rcc rId="2346" sId="8">
    <nc r="J85">
      <f>57.62</f>
    </nc>
  </rcc>
  <rcc rId="2347" sId="8">
    <nc r="I84">
      <f>677.89</f>
    </nc>
  </rcc>
  <rcc rId="2348" sId="8">
    <nc r="J84">
      <f>648.23</f>
    </nc>
  </rcc>
  <rcc rId="2349" sId="8">
    <nc r="I86">
      <f>109.28</f>
    </nc>
  </rcc>
  <rcc rId="2350" sId="8">
    <nc r="J86">
      <f>107.53</f>
    </nc>
  </rcc>
  <rcc rId="2351" sId="8">
    <nc r="I87">
      <f>150.08</f>
    </nc>
  </rcc>
  <rcc rId="2352" sId="8">
    <nc r="J87">
      <f>151.26</f>
    </nc>
  </rcc>
  <rcc rId="2353" sId="8">
    <nc r="K79" t="inlineStr">
      <is>
        <t>Prosentvis som arrangør beholder</t>
      </is>
    </nc>
  </rcc>
  <rfmt sheetId="8" sqref="K79">
    <dxf>
      <alignment wrapText="1"/>
    </dxf>
  </rfmt>
  <rm rId="2354" sheetId="8" source="K79" destination="L79" sourceSheetId="8">
    <rfmt sheetId="8" sqref="L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</rm>
  <rcc rId="2355" sId="8" odxf="1" dxf="1">
    <nc r="K79" t="inlineStr">
      <is>
        <t>SUM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356" sId="8">
    <nc r="K80">
      <f>SUM(I80:J80)</f>
    </nc>
  </rcc>
  <rcc rId="2357" sId="8">
    <nc r="K81">
      <f>SUM(I81:J81)</f>
    </nc>
  </rcc>
  <rcc rId="2358" sId="8" odxf="1" dxf="1">
    <nc r="K82">
      <f>SUM(I82:J82)</f>
    </nc>
    <odxf>
      <alignment vertical="center"/>
    </odxf>
    <ndxf>
      <alignment vertical="bottom"/>
    </ndxf>
  </rcc>
  <rcc rId="2359" sId="8" odxf="1" dxf="1">
    <nc r="K83">
      <f>SUM(I83:J83)</f>
    </nc>
    <odxf>
      <alignment vertical="center"/>
    </odxf>
    <ndxf>
      <alignment vertical="bottom"/>
    </ndxf>
  </rcc>
  <rcc rId="2360" sId="8" odxf="1" dxf="1">
    <nc r="K84">
      <f>SUM(I84:J84)</f>
    </nc>
    <odxf>
      <alignment vertical="center"/>
    </odxf>
    <ndxf>
      <alignment vertical="bottom"/>
    </ndxf>
  </rcc>
  <rcc rId="2361" sId="8" odxf="1" dxf="1">
    <nc r="K85">
      <f>SUM(I85:J85)</f>
    </nc>
    <odxf>
      <alignment vertical="center"/>
    </odxf>
    <ndxf>
      <alignment vertical="bottom"/>
    </ndxf>
  </rcc>
  <rcc rId="2362" sId="8" odxf="1" dxf="1">
    <nc r="K86">
      <f>SUM(I86:J86)</f>
    </nc>
    <odxf>
      <alignment vertical="center"/>
    </odxf>
    <ndxf>
      <alignment vertical="bottom"/>
    </ndxf>
  </rcc>
  <rcc rId="2363" sId="8" odxf="1" dxf="1">
    <nc r="K87">
      <f>SUM(I87:J87)</f>
    </nc>
    <odxf>
      <alignment vertical="center"/>
    </odxf>
    <ndxf>
      <alignment vertical="bottom"/>
    </ndxf>
  </rcc>
  <rcc rId="2364" sId="8">
    <nc r="L80">
      <f>J80/K80</f>
    </nc>
  </rcc>
  <rfmt sheetId="8" sqref="L81">
    <dxf>
      <numFmt numFmtId="13" formatCode="0\ %"/>
    </dxf>
  </rfmt>
  <rcc rId="2365" sId="8" odxf="1" dxf="1">
    <nc r="L81">
      <f>J81/K81</f>
    </nc>
    <odxf>
      <numFmt numFmtId="13" formatCode="0\ %"/>
    </odxf>
    <ndxf>
      <numFmt numFmtId="0" formatCode="General"/>
    </ndxf>
  </rcc>
  <rcc rId="2366" sId="8">
    <nc r="L82">
      <f>J82/K82</f>
    </nc>
  </rcc>
  <rcc rId="2367" sId="8">
    <nc r="L83">
      <f>J83/K83</f>
    </nc>
  </rcc>
  <rcc rId="2368" sId="8">
    <nc r="L84">
      <f>J84/K84</f>
    </nc>
  </rcc>
  <rcc rId="2369" sId="8">
    <nc r="L85">
      <f>J85/K85</f>
    </nc>
  </rcc>
  <rcc rId="2370" sId="8">
    <nc r="L86">
      <f>J86/K86</f>
    </nc>
  </rcc>
  <rcc rId="2371" sId="8">
    <nc r="L87">
      <f>J87/K87</f>
    </nc>
  </rcc>
  <rfmt sheetId="8" sqref="A79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0" start="0" length="0">
    <dxf>
      <font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border outline="0">
        <left/>
      </border>
    </dxf>
  </rfmt>
  <rfmt sheetId="8" sqref="A81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2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3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4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5" start="0" length="0">
    <dxf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6" start="0" length="0">
    <dxf>
      <font>
        <b val="0"/>
        <sz val="11"/>
        <name val="Calibri"/>
        <family val="2"/>
      </font>
      <alignment vertical="center" wrapText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B84" start="0" length="0">
    <dxf>
      <numFmt numFmtId="168" formatCode="\ #,##0\ ;\(#,##0\)"/>
    </dxf>
  </rfmt>
  <rfmt sheetId="8" sqref="B84">
    <dxf>
      <numFmt numFmtId="182" formatCode="\ #,##0.0\ ;\(#,##0.0\)"/>
    </dxf>
  </rfmt>
  <rfmt sheetId="8" sqref="B84">
    <dxf>
      <numFmt numFmtId="171" formatCode="\ #,##0.00\ ;\(#,##0.00\)"/>
    </dxf>
  </rfmt>
  <rfmt sheetId="8" sqref="B79:B83">
    <dxf>
      <numFmt numFmtId="182" formatCode="\ #,##0.0\ ;\(#,##0.0\)"/>
    </dxf>
  </rfmt>
  <rfmt sheetId="8" sqref="B79:B83">
    <dxf>
      <numFmt numFmtId="171" formatCode="\ #,##0.00\ ;\(#,##0.00\)"/>
    </dxf>
  </rfmt>
  <rfmt sheetId="8" sqref="C84" start="0" length="0">
    <dxf>
      <font>
        <sz val="10"/>
        <color rgb="FF000000"/>
        <name val="Arial"/>
        <family val="2"/>
        <scheme val="none"/>
      </font>
    </dxf>
  </rfmt>
  <rfmt sheetId="8" sqref="C83" start="0" length="0">
    <dxf>
      <border outline="0">
        <bottom/>
      </border>
    </dxf>
  </rfmt>
  <rfmt sheetId="8" sqref="C85" start="0" length="0">
    <dxf>
      <font>
        <sz val="11"/>
        <name val="Calibri"/>
        <family val="2"/>
      </font>
      <border outline="0">
        <bottom style="thin">
          <color rgb="FF000000"/>
        </bottom>
      </border>
    </dxf>
  </rfmt>
  <rfmt sheetId="8" sqref="C86" start="0" length="0">
    <dxf>
      <font>
        <sz val="10"/>
        <color rgb="FF000000"/>
        <name val="Arial"/>
        <family val="2"/>
        <scheme val="none"/>
      </font>
      <alignment vertical="bottom" wrapText="0"/>
      <border outline="0">
        <bottom style="thin">
          <color rgb="FF000000"/>
        </bottom>
      </border>
    </dxf>
  </rfmt>
  <rfmt sheetId="8" sqref="B85" start="0" length="0">
    <dxf>
      <font>
        <sz val="10"/>
        <color rgb="FF000000"/>
        <name val="Arial"/>
        <family val="2"/>
        <scheme val="none"/>
      </font>
      <numFmt numFmtId="171" formatCode="\ #,##0.00\ ;\(#,##0.00\)"/>
      <fill>
        <patternFill>
          <fgColor rgb="FFA9D18E"/>
        </patternFill>
      </fill>
      <border outline="0">
        <bottom style="thin">
          <color rgb="FF000000"/>
        </bottom>
      </border>
    </dxf>
  </rfmt>
  <rfmt sheetId="8" sqref="B86" start="0" length="0">
    <dxf>
      <numFmt numFmtId="171" formatCode="\ #,##0.00\ ;\(#,##0.00\)"/>
      <fill>
        <patternFill>
          <fgColor rgb="FFA9D18E"/>
        </patternFill>
      </fill>
      <alignment vertical="bottom" wrapText="0"/>
      <border outline="0">
        <bottom style="thin">
          <color rgb="FF000000"/>
        </bottom>
      </border>
    </dxf>
  </rfmt>
  <rcc rId="2372" sId="8" odxf="1" dxf="1">
    <oc r="A79" t="inlineStr">
      <is>
        <t>Barneleir (inkl. JC)</t>
      </is>
    </oc>
    <nc r="A79" t="inlineStr">
      <is>
        <t>Village</t>
      </is>
    </nc>
    <n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ndxf>
  </rcc>
  <rcc rId="2373" sId="8" odxf="1" dxf="1">
    <oc r="B79">
      <f>(((B7*B84)*12)*4)*28+((B7*B84)*6)*28</f>
    </oc>
    <nc r="B79">
      <f>J80*12</f>
    </nc>
    <ndxf>
      <numFmt numFmtId="0" formatCode="General"/>
      <fill>
        <patternFill>
          <fgColor rgb="FFFFFFFF"/>
        </patternFill>
      </fill>
      <alignment vertical="top" wrapText="1"/>
    </ndxf>
  </rcc>
  <rfmt sheetId="8" sqref="C79" start="0" length="0">
    <dxf>
      <alignment vertical="top" wrapText="1"/>
    </dxf>
  </rfmt>
  <rcc rId="2374" sId="8" odxf="1" dxf="1">
    <oc r="A80" t="inlineStr">
      <is>
        <t>Step-Up</t>
      </is>
    </oc>
    <nc r="A80" t="inlineStr">
      <is>
        <t>JC</t>
      </is>
    </nc>
    <ndxf>
      <font>
        <sz val="10"/>
        <color rgb="FF000000"/>
        <name val="Arial"/>
        <family val="2"/>
        <scheme val="none"/>
      </font>
      <fill>
        <patternFill patternType="solid">
          <fgColor rgb="FFFFFFFF"/>
          <bgColor theme="0"/>
        </patternFill>
      </fill>
      <alignment wrapText="1"/>
    </ndxf>
  </rcc>
  <rcc rId="2375" sId="8" odxf="1" dxf="1">
    <oc r="B80">
      <f>(((B7*B84)*9)*4)*23</f>
    </oc>
    <nc r="B80">
      <f>J81*6</f>
    </nc>
    <ndxf>
      <numFmt numFmtId="0" formatCode="General"/>
      <fill>
        <patternFill>
          <fgColor rgb="FFFFFFFF"/>
        </patternFill>
      </fill>
      <alignment vertical="top" wrapText="1"/>
    </ndxf>
  </rcc>
  <rfmt sheetId="8" sqref="C80" start="0" length="0">
    <dxf>
      <alignment vertical="top" wrapText="1"/>
    </dxf>
  </rfmt>
  <rcc rId="2376" sId="8" odxf="1" dxf="1">
    <oc r="A81" t="inlineStr">
      <is>
        <t>IPP</t>
      </is>
    </oc>
    <nc r="A81" t="inlineStr">
      <is>
        <t>Step Up</t>
      </is>
    </nc>
    <n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ndxf>
  </rcc>
  <rcc rId="2377" sId="8" odxf="1" dxf="1">
    <oc r="B81">
      <v>3.25</v>
    </oc>
    <nc r="B81">
      <f>J82*9</f>
    </nc>
    <ndxf>
      <numFmt numFmtId="0" formatCode="General"/>
      <fill>
        <patternFill>
          <fgColor rgb="FFFFFFFF"/>
        </patternFill>
      </fill>
      <alignment vertical="top" wrapText="1"/>
    </ndxf>
  </rcc>
  <rcc rId="2378" sId="8" odxf="1" dxf="1">
    <oc r="C81" t="inlineStr">
      <is>
        <t>£ pr døgn pr deltaker</t>
      </is>
    </oc>
    <nc r="C81" t="inlineStr">
      <is>
        <t>£ pr leir</t>
      </is>
    </nc>
    <ndxf>
      <alignment vertical="top" wrapText="1"/>
    </ndxf>
  </rcc>
  <rcc rId="2379" sId="8" odxf="1" dxf="1">
    <oc r="A82" t="inlineStr">
      <is>
        <t>Youth Meeting</t>
      </is>
    </oc>
    <nc r="A82" t="inlineStr">
      <is>
        <t>Youth Meeting 12-15år 8 dager</t>
      </is>
    </nc>
    <n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ndxf>
  </rcc>
  <rcc rId="2380" sId="8" odxf="1" dxf="1">
    <oc r="B82">
      <v>6.4962499999999999</v>
    </oc>
    <nc r="B82">
      <f>J83*5</f>
    </nc>
    <ndxf>
      <numFmt numFmtId="0" formatCode="General"/>
      <fill>
        <patternFill>
          <fgColor rgb="FFFFFFFF"/>
        </patternFill>
      </fill>
      <alignment vertical="top" wrapText="1"/>
    </ndxf>
  </rcc>
  <rcc rId="2381" sId="8" odxf="1" dxf="1">
    <oc r="C82" t="inlineStr">
      <is>
        <t>£ pr døgn pr deltaker</t>
      </is>
    </oc>
    <nc r="C82" t="inlineStr">
      <is>
        <t>£ pr leir</t>
      </is>
    </nc>
    <ndxf>
      <alignment vertical="top" wrapText="1"/>
    </ndxf>
  </rcc>
  <rcc rId="2382" sId="8" odxf="1" dxf="1">
    <oc r="A83" t="inlineStr">
      <is>
        <t>Seminarleir</t>
      </is>
    </oc>
    <nc r="A83" t="inlineStr">
      <is>
        <t>Youth Meeting 12-15år 15 dager</t>
      </is>
    </nc>
    <n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ndxf>
  </rcc>
  <rcc rId="2383" sId="8" odxf="1" dxf="1">
    <oc r="B83">
      <v>3.2671428599999999</v>
    </oc>
    <nc r="B83">
      <f>J84*5</f>
    </nc>
    <ndxf>
      <numFmt numFmtId="0" formatCode="General"/>
      <fill>
        <patternFill>
          <fgColor rgb="FFFFFFFF"/>
        </patternFill>
      </fill>
      <alignment vertical="top" wrapText="1"/>
      <border outline="0">
        <bottom/>
      </border>
    </ndxf>
  </rcc>
  <rcc rId="2384" sId="8" odxf="1" dxf="1">
    <oc r="C83" t="inlineStr">
      <is>
        <t>£ pr døgn pr deltaker</t>
      </is>
    </oc>
    <nc r="C83" t="inlineStr">
      <is>
        <t>£ pr leir</t>
      </is>
    </nc>
    <ndxf>
      <alignment vertical="top" wrapText="1"/>
    </ndxf>
  </rcc>
  <rfmt sheetId="8" sqref="A84" start="0" length="0">
    <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dxf>
  </rfmt>
  <rfmt sheetId="8" sqref="B84" start="0" length="0">
    <dxf>
      <numFmt numFmtId="0" formatCode="General"/>
      <fill>
        <patternFill>
          <fgColor rgb="FFFFFFFF"/>
        </patternFill>
      </fill>
      <alignment vertical="top" wrapText="1"/>
      <border outline="0">
        <bottom/>
      </border>
    </dxf>
  </rfmt>
  <rfmt sheetId="8" sqref="C84" start="0" length="0">
    <dxf>
      <font>
        <sz val="10"/>
        <color rgb="FF000000"/>
        <name val="Arial"/>
        <family val="2"/>
        <scheme val="none"/>
      </font>
      <alignment vertical="top" wrapText="1"/>
      <border outline="0">
        <bottom/>
      </border>
    </dxf>
  </rfmt>
  <rfmt sheetId="8" sqref="A85" start="0" length="0">
    <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dxf>
  </rfmt>
  <rfmt sheetId="8" sqref="B85" start="0" length="0">
    <dxf>
      <numFmt numFmtId="0" formatCode="General"/>
      <fill>
        <patternFill>
          <fgColor rgb="FFFFFFFF"/>
        </patternFill>
      </fill>
      <alignment vertical="top" wrapText="1"/>
      <border outline="0">
        <bottom/>
      </border>
    </dxf>
  </rfmt>
  <rfmt sheetId="8" sqref="C85" start="0" length="0">
    <dxf>
      <font>
        <sz val="10"/>
        <color rgb="FF000000"/>
        <name val="Arial"/>
        <family val="2"/>
        <scheme val="none"/>
      </font>
      <alignment vertical="top" wrapText="1"/>
      <border outline="0">
        <bottom/>
      </border>
    </dxf>
  </rfmt>
  <rfmt sheetId="8" sqref="A86" start="0" length="0">
    <dxf>
      <font>
        <sz val="10"/>
        <color rgb="FF000000"/>
        <name val="Arial"/>
        <family val="2"/>
        <scheme val="none"/>
      </font>
      <fill>
        <patternFill>
          <bgColor theme="0"/>
        </patternFill>
      </fill>
      <alignment vertical="top" wrapText="1"/>
      <border outline="0">
        <left/>
        <right/>
        <top/>
        <bottom/>
      </border>
    </dxf>
  </rfmt>
  <rcc rId="2385" sId="8" odxf="1" dxf="1">
    <nc r="B86">
      <f>J87</f>
    </nc>
    <ndxf>
      <numFmt numFmtId="0" formatCode="General"/>
      <fill>
        <patternFill>
          <fgColor rgb="FFFFFFFF"/>
        </patternFill>
      </fill>
      <alignment vertical="top" wrapText="1"/>
      <border outline="0">
        <bottom/>
      </border>
    </ndxf>
  </rcc>
  <rcc rId="2386" sId="8" odxf="1" dxf="1">
    <nc r="C86" t="inlineStr">
      <is>
        <t>£ pr deltaker</t>
      </is>
    </nc>
    <ndxf>
      <font>
        <sz val="10"/>
        <color rgb="FF000000"/>
        <name val="Arial"/>
        <family val="2"/>
        <scheme val="none"/>
      </font>
      <alignment vertical="top" wrapText="1"/>
      <border outline="0">
        <bottom/>
      </border>
    </ndxf>
  </rcc>
  <rfmt sheetId="8" sqref="D81" start="0" length="0">
    <dxf>
      <alignment vertical="top" wrapText="1"/>
      <border outline="0">
        <right/>
      </border>
    </dxf>
  </rfmt>
  <rfmt sheetId="8" sqref="D82" start="0" length="0">
    <dxf>
      <alignment vertical="top" wrapText="1"/>
      <border outline="0">
        <right/>
      </border>
    </dxf>
  </rfmt>
  <rfmt sheetId="8" sqref="D83" start="0" length="0">
    <dxf>
      <alignment vertical="top" wrapText="1"/>
      <border outline="0">
        <right/>
        <bottom/>
      </border>
    </dxf>
  </rfmt>
  <rfmt sheetId="8" sqref="D84" start="0" length="0">
    <dxf>
      <alignment vertical="top" wrapText="1"/>
      <border outline="0">
        <right/>
        <bottom/>
      </border>
    </dxf>
  </rfmt>
  <rfmt sheetId="8" sqref="D85" start="0" length="0">
    <dxf>
      <font>
        <sz val="10"/>
        <color rgb="FF000000"/>
        <name val="Arial"/>
        <family val="2"/>
        <scheme val="none"/>
      </font>
      <alignment vertical="top" wrapText="1"/>
      <border outline="0">
        <top/>
      </border>
    </dxf>
  </rfmt>
  <rfmt sheetId="8" sqref="D86" start="0" length="0">
    <dxf>
      <font>
        <sz val="10"/>
        <color rgb="FF000000"/>
        <name val="Arial"/>
        <family val="2"/>
        <scheme val="none"/>
      </font>
      <alignment vertical="top" wrapText="1"/>
    </dxf>
  </rfmt>
  <rfmt sheetId="8" sqref="A78:A86" start="0" length="0">
    <dxf>
      <border>
        <left style="thin">
          <color indexed="64"/>
        </left>
      </border>
    </dxf>
  </rfmt>
  <rfmt sheetId="8" sqref="A78:D78" start="0" length="0">
    <dxf>
      <border>
        <top style="thin">
          <color indexed="64"/>
        </top>
      </border>
    </dxf>
  </rfmt>
  <rfmt sheetId="8" sqref="D78:D86" start="0" length="0">
    <dxf>
      <border>
        <right style="thin">
          <color indexed="64"/>
        </right>
      </border>
    </dxf>
  </rfmt>
  <rfmt sheetId="8" sqref="A86:D86" start="0" length="0">
    <dxf>
      <border>
        <bottom style="thin">
          <color indexed="64"/>
        </bottom>
      </border>
    </dxf>
  </rfmt>
  <rcc rId="2387" sId="4">
    <oc r="B13">
      <f>-'Oversikt Variabler'!B79*'Oversikt Variabler'!B4*'Oversikt Variabler'!B44</f>
    </oc>
    <nc r="B13">
      <f>-(('Oversikt Variabler'!B4*('Oversikt Variabler'!B44*(SUM('Oversikt Variabler'!B79:B80)))))</f>
    </nc>
  </rcc>
  <rfmt sheetId="8" sqref="B79:B80">
    <dxf>
      <fill>
        <patternFill>
          <bgColor rgb="FF92D050"/>
        </patternFill>
      </fill>
    </dxf>
  </rfmt>
  <rrc rId="2388" sId="8" ref="A61:XFD61" action="insertRow"/>
  <rrc rId="2389" sId="8" ref="A63:XFD63" action="insertRow"/>
  <rfmt sheetId="8" sqref="A60" start="0" length="0">
    <dxf>
      <fill>
        <patternFill>
          <bgColor theme="0"/>
        </patternFill>
      </fill>
      <border outline="0">
        <left style="thin">
          <color indexed="64"/>
        </left>
      </border>
    </dxf>
  </rfmt>
  <rfmt sheetId="8" sqref="A61" start="0" length="0">
    <dxf>
      <fill>
        <patternFill>
          <bgColor theme="0"/>
        </patternFill>
      </fill>
      <border outline="0">
        <left style="thin">
          <color indexed="64"/>
        </left>
      </border>
    </dxf>
  </rfmt>
  <rfmt sheetId="8" sqref="A62" start="0" length="0">
    <dxf>
      <fill>
        <patternFill>
          <bgColor theme="0"/>
        </patternFill>
      </fill>
      <border outline="0">
        <left style="thin">
          <color indexed="64"/>
        </left>
      </border>
    </dxf>
  </rfmt>
  <rfmt sheetId="8" sqref="A63" start="0" length="0">
    <dxf>
      <fill>
        <patternFill>
          <bgColor theme="0"/>
        </patternFill>
      </fill>
      <border outline="0">
        <left style="thin">
          <color indexed="64"/>
        </left>
      </border>
    </dxf>
  </rfmt>
  <rcc rId="2390" sId="8" odxf="1" dxf="1">
    <oc r="A60" t="inlineStr">
      <is>
        <t xml:space="preserve">Egne YM 8-dager </t>
      </is>
    </oc>
    <nc r="A60" t="inlineStr">
      <is>
        <t>Egne Youth Meeting 12-15år 8 dager</t>
      </is>
    </nc>
    <ndxf>
      <font>
        <sz val="10"/>
        <color rgb="FF000000"/>
        <name val="Arial"/>
        <family val="2"/>
        <scheme val="none"/>
      </font>
    </ndxf>
  </rcc>
  <rcc rId="2391" sId="8" odxf="1" dxf="1">
    <nc r="A61" t="inlineStr">
      <is>
        <t>Egne Youth Meeting 12-15år 15 dager</t>
      </is>
    </nc>
    <ndxf>
      <font>
        <sz val="10"/>
        <color rgb="FF000000"/>
        <name val="Arial"/>
        <family val="2"/>
        <scheme val="none"/>
      </font>
    </ndxf>
  </rcc>
  <rfmt sheetId="8" sqref="A62" start="0" length="0">
    <dxf>
      <font>
        <sz val="10"/>
        <color rgb="FF000000"/>
        <name val="Arial"/>
        <family val="2"/>
        <scheme val="none"/>
      </font>
    </dxf>
  </rfmt>
  <rcc rId="2392" sId="8" odxf="1" dxf="1">
    <nc r="A63" t="inlineStr">
      <is>
        <t>Egne Youth meeting 16+ 15 dager</t>
      </is>
    </nc>
    <ndxf>
      <font>
        <sz val="10"/>
        <color rgb="FF000000"/>
        <name val="Arial"/>
        <family val="2"/>
        <scheme val="none"/>
      </font>
    </ndxf>
  </rcc>
  <rcc rId="2393" sId="8">
    <oc r="B60">
      <v>2</v>
    </oc>
    <nc r="B60">
      <v>1</v>
    </nc>
  </rcc>
  <rcc rId="2394" sId="8">
    <nc r="B61">
      <v>1</v>
    </nc>
  </rcc>
  <rcc rId="2395" sId="8">
    <oc r="A62" t="inlineStr">
      <is>
        <t>Egne YM 15-dager</t>
      </is>
    </oc>
    <nc r="A62" t="inlineStr">
      <is>
        <t xml:space="preserve">Egne Youth meeting 16+ 8 dager </t>
      </is>
    </nc>
  </rcc>
  <rfmt sheetId="8" sqref="B83">
    <dxf>
      <fill>
        <patternFill>
          <bgColor rgb="FF92D050"/>
        </patternFill>
      </fill>
    </dxf>
  </rfmt>
  <rcc rId="2396" sId="8" odxf="1" dxf="1">
    <nc r="A86" t="inlineStr">
      <is>
        <t>Youth meeting 16+ 8 dager 25 deltakere</t>
      </is>
    </nc>
    <ndxf>
      <font>
        <sz val="10"/>
        <color rgb="FF000000"/>
        <name val="Arial"/>
        <family val="2"/>
        <scheme val="none"/>
      </font>
    </ndxf>
  </rcc>
  <rcc rId="2397" sId="8" odxf="1" dxf="1">
    <nc r="A87" t="inlineStr">
      <is>
        <t>Youth meeting 16+ 15 dager 25 deltakere</t>
      </is>
    </nc>
    <ndxf>
      <font>
        <sz val="10"/>
        <color rgb="FF000000"/>
        <name val="Arial"/>
        <family val="2"/>
        <scheme val="none"/>
      </font>
    </ndxf>
  </rcc>
  <rcc rId="2398" sId="8">
    <oc r="B86">
      <v>0.54545120520000001</v>
    </oc>
    <nc r="B86">
      <f>J87*25</f>
    </nc>
  </rcc>
  <rcc rId="2399" sId="8">
    <nc r="B87">
      <f>J88*25</f>
    </nc>
  </rcc>
  <rcc rId="2400" sId="8">
    <oc r="C86" t="inlineStr">
      <is>
        <t>Andel av deltageravgift som leirstøtte fra IO</t>
      </is>
    </oc>
    <nc r="C86" t="inlineStr">
      <is>
        <t>£ pr leir</t>
      </is>
    </nc>
  </rcc>
  <rcc rId="2401" sId="8">
    <nc r="C87" t="inlineStr">
      <is>
        <t>£ pr leir</t>
      </is>
    </nc>
  </rcc>
  <rfmt sheetId="8" sqref="A88" start="0" length="0">
    <dxf>
      <font>
        <sz val="10"/>
        <color rgb="FF000000"/>
        <name val="Arial"/>
        <family val="2"/>
        <scheme val="none"/>
      </font>
    </dxf>
  </rfmt>
  <rcc rId="2402" sId="8">
    <nc r="A88" t="inlineStr">
      <is>
        <r>
          <t>Seminarleir (24 eller 30 per leir) -</t>
        </r>
        <r>
          <rPr>
            <i/>
            <u/>
            <sz val="10"/>
            <color rgb="FF000000"/>
            <rFont val="Arial"/>
            <family val="2"/>
          </rPr>
          <t xml:space="preserve"> sjekk hvert år</t>
        </r>
      </is>
    </nc>
  </rcc>
  <rcc rId="2403" sId="4">
    <oc r="C13">
      <f>-('Oversikt Variabler'!B80*'Oversikt Variabler'!B48*'Oversikt Variabler'!B4)</f>
    </oc>
    <nc r="C13">
      <f>-'Oversikt Variabler'!B4*'Oversikt Variabler'!B48*'Oversikt Variabler'!B83</f>
    </nc>
  </rcc>
  <rcc rId="2404" sId="4">
    <oc r="E13">
      <f>-((('Oversikt Variabler'!B60*'Oversikt Variabler'!B82*5*6*8)+'Oversikt Variabler'!B61*'Oversikt Variabler'!B82*5*6*15)*'Oversikt Variabler'!B4)</f>
    </oc>
    <nc r="E13">
      <f>-'Oversikt Variabler'!B4*('Oversikt Variabler'!B60*'Oversikt Variabler'!B84+'Oversikt Variabler'!B61*'Oversikt Variabler'!B85+'Oversikt Variabler'!B62*'Oversikt Variabler'!B86+'Oversikt Variabler'!B63*'Oversikt Variabler'!B87)</f>
    </nc>
  </rcc>
  <rcc rId="2405" sId="4">
    <oc r="F13">
      <f>-('Oversikt Variabler'!B85*21*'Oversikt Variabler'!B67*'Oversikt Variabler'!B4*'Oversikt Variabler'!B68)</f>
    </oc>
    <nc r="F13">
      <f>-'Oversikt Variabler'!B4*'Oversikt Variabler'!B68*'Oversikt Variabler'!B88</f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06" sId="8">
    <oc r="A68" t="inlineStr">
      <is>
        <t>Seminarleirdeltakere til egen leir (24 eller 34)</t>
      </is>
    </oc>
    <nc r="A68" t="inlineStr">
      <is>
        <t>Seminarleirdeltakere til egen leir (24 eller 30)</t>
      </is>
    </nc>
  </rcc>
  <rcc rId="2407" sId="8">
    <oc r="A100" t="inlineStr">
      <is>
        <t>IPP</t>
      </is>
    </oc>
    <nc r="A100">
      <v>0</v>
    </nc>
  </rcc>
  <rcc rId="2408" sId="8">
    <oc r="A99" t="inlineStr">
      <is>
        <t>Seminarleir 34 deltakere</t>
      </is>
    </oc>
    <nc r="A99" t="inlineStr">
      <is>
        <t>Seminarleir 30 deltakere</t>
      </is>
    </nc>
  </rcc>
  <rfmt sheetId="8" sqref="B84:B88">
    <dxf>
      <fill>
        <patternFill>
          <bgColor rgb="FF92D050"/>
        </patternFill>
      </fill>
    </dxf>
  </rfmt>
  <rfmt sheetId="8" sqref="B19:B38" start="0" length="0">
    <dxf>
      <border>
        <left style="thin">
          <color indexed="64"/>
        </left>
      </border>
    </dxf>
  </rfmt>
  <rfmt sheetId="8" sqref="B19" start="0" length="0">
    <dxf>
      <border>
        <top style="thin">
          <color indexed="64"/>
        </top>
      </border>
    </dxf>
  </rfmt>
  <rfmt sheetId="8" sqref="B19:B38" start="0" length="0">
    <dxf>
      <border>
        <right style="thin">
          <color indexed="64"/>
        </right>
      </border>
    </dxf>
  </rfmt>
  <rfmt sheetId="8" sqref="B38" start="0" length="0">
    <dxf>
      <border>
        <bottom style="thin">
          <color indexed="64"/>
        </bottom>
      </border>
    </dxf>
  </rfmt>
  <rfmt sheetId="8" sqref="B28:B38" start="0" length="2147483647">
    <dxf>
      <font>
        <b/>
        <family val="2"/>
      </font>
    </dxf>
  </rfmt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09" sId="4" numFmtId="4">
    <oc r="G15">
      <f>-(SUM('Oversikt Variabler'!$B$71:$B$72)*'Oversikt Variabler'!#REF!*'Oversikt Variabler'!$B$3)</f>
    </oc>
    <nc r="G15">
      <v>0</v>
    </nc>
  </rcc>
  <rcc rId="2410" sId="4" numFmtId="4">
    <oc r="B15">
      <f>-('Oversikt Variabler'!#REF!*'Oversikt Variabler'!$B$3*(('Oversikt Variabler'!$B$42*5)+'Oversikt Variabler'!$B$43))</f>
    </oc>
    <nc r="B15">
      <v>0</v>
    </nc>
  </rcc>
  <rcc rId="2411" sId="4" numFmtId="4">
    <oc r="C15">
      <f>-(('Oversikt Variabler'!#REF!*'Oversikt Variabler'!$B$3)*('Oversikt Variabler'!$B$47*5))</f>
    </oc>
    <nc r="C15">
      <v>0</v>
    </nc>
  </rcc>
  <rcc rId="2412" sId="4" numFmtId="4">
    <oc r="D15">
      <f>-(('Oversikt Variabler'!#REF!*'Oversikt Variabler'!$B$3)*('Oversikt Variabler'!$B$51*10))</f>
    </oc>
    <nc r="D15">
      <v>0</v>
    </nc>
  </rcc>
  <rcc rId="2413" sId="4" numFmtId="4">
    <oc r="E15">
      <f>-(('Oversikt Variabler'!#REF!*'Oversikt Variabler'!B3)*(('Oversikt Variabler'!B54*7)+('Oversikt Variabler'!B55*7)+('Oversikt Variabler'!B56*7)+('Oversikt Variabler'!B57*7)+'Oversikt Variabler'!B58+'Oversikt Variabler'!B59))</f>
    </oc>
    <nc r="E15">
      <v>0</v>
    </nc>
  </rcc>
  <rcc rId="2414" sId="4" numFmtId="4">
    <oc r="F15">
      <f>-('Oversikt Variabler'!B66*('Oversikt Variabler'!#REF!*'Oversikt Variabler'!B3))</f>
    </oc>
    <nc r="F15">
      <v>0</v>
    </nc>
  </rcc>
  <rcc rId="2415" sId="4" numFmtId="4">
    <oc r="B49">
      <f>('Oversikt Variabler'!#REF!*'Oversikt Variabler'!$B$4*(('Oversikt Variabler'!$B$42*5)+'Oversikt Variabler'!$B$43))</f>
    </oc>
    <nc r="B49">
      <v>0</v>
    </nc>
  </rcc>
  <rcc rId="2416" sId="4" numFmtId="4">
    <oc r="C49">
      <f>(('Oversikt Variabler'!#REF!*'Oversikt Variabler'!$B$4)*('Oversikt Variabler'!$B$47*5))</f>
    </oc>
    <nc r="C49">
      <v>0</v>
    </nc>
  </rcc>
  <rcc rId="2417" sId="4" numFmtId="4">
    <oc r="D49">
      <f>(('Oversikt Variabler'!#REF!*'Oversikt Variabler'!$B$4)*('Oversikt Variabler'!$B$51*10))</f>
    </oc>
    <nc r="D49">
      <v>0</v>
    </nc>
  </rcc>
  <rcc rId="2418" sId="4" numFmtId="4">
    <oc r="E49">
      <f>(('Oversikt Variabler'!#REF!*'Oversikt Variabler'!B4)*(('Oversikt Variabler'!B54*7)+('Oversikt Variabler'!B55*7)+('Oversikt Variabler'!B56*7)+('Oversikt Variabler'!B57*7)+'Oversikt Variabler'!B58+'Oversikt Variabler'!B59))</f>
    </oc>
    <nc r="E49">
      <v>0</v>
    </nc>
  </rcc>
  <rcc rId="2419" sId="4" numFmtId="4">
    <oc r="F49">
      <f>('Oversikt Variabler'!B66*('Oversikt Variabler'!#REF!*'Oversikt Variabler'!B4))</f>
    </oc>
    <nc r="F49">
      <v>0</v>
    </nc>
  </rcc>
  <rcc rId="2420" sId="4" numFmtId="4">
    <oc r="G49">
      <f>(SUM('Oversikt Variabler'!$B$71:$B$72)*'Oversikt Variabler'!#REF!*'Oversikt Variabler'!$B$4)</f>
    </oc>
    <nc r="G49">
      <v>0</v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21" sId="3">
    <oc r="A92" t="inlineStr">
      <is>
        <t>Andre tiltak</t>
      </is>
    </oc>
    <nc r="A92" t="inlineStr">
      <is>
        <t>Kompetanseheving frivillige</t>
      </is>
    </nc>
  </rcc>
  <rcc rId="2422" sId="3">
    <oc r="A96" t="inlineStr">
      <is>
        <t>EVS 1 og 2 - egenandel</t>
      </is>
    </oc>
    <nc r="A96"/>
  </rcc>
  <rcc rId="2423" sId="3">
    <oc r="E96">
      <f>Prosjekter!H8+Prosjekter!H9</f>
    </oc>
    <nc r="E96"/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424" sId="3" ref="A99:XFD99" action="deleteRow">
    <rfmt sheetId="3" xfDxf="1" sqref="A99:XFD99" start="0" length="0"/>
    <rcc rId="0" sId="3" dxf="1">
      <nc r="A99" t="inlineStr">
        <is>
          <t>ARBEIDSGRUPPER 2016</t>
        </is>
      </nc>
      <n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top style="thin">
            <color rgb="FF000000"/>
          </top>
          <bottom style="thin">
            <color rgb="FF000000"/>
          </bottom>
        </border>
      </ndxf>
    </rcc>
    <rfmt sheetId="3" sqref="B99" start="0" length="0">
      <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top style="thin">
            <color rgb="FF000000"/>
          </top>
          <bottom style="thin">
            <color rgb="FF000000"/>
          </bottom>
        </border>
      </dxf>
    </rfmt>
    <rfmt sheetId="3" sqref="C99" start="0" length="0">
      <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top style="thin">
            <color rgb="FF000000"/>
          </top>
          <bottom style="thin">
            <color rgb="FF000000"/>
          </bottom>
        </border>
      </dxf>
    </rfmt>
    <rfmt sheetId="3" sqref="D99" start="0" length="0">
      <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top style="thin">
            <color rgb="FF000000"/>
          </top>
          <bottom style="thin">
            <color rgb="FF000000"/>
          </bottom>
        </border>
      </dxf>
    </rfmt>
    <rfmt sheetId="3" sqref="E99" start="0" length="0">
      <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top style="thin">
            <color rgb="FF000000"/>
          </top>
          <bottom style="thin">
            <color rgb="FF000000"/>
          </bottom>
        </border>
      </dxf>
    </rfmt>
    <rfmt sheetId="3" sqref="F99" start="0" length="0">
      <dxf>
        <font>
          <b/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dxf>
    </rfmt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25" sId="3" ref="A99:XFD99" action="deleteRow">
    <undo index="65535" exp="area" dr="F99:F100" r="F101" sId="3"/>
    <undo index="65535" exp="area" dr="E99:E100" r="E101" sId="3"/>
    <undo index="65535" exp="area" dr="D99:D100" r="D101" sId="3"/>
    <undo index="65535" exp="area" dr="C99:C100" r="C101" sId="3"/>
    <undo index="65535" exp="area" dr="B99:B100" r="B101" sId="3"/>
    <rfmt sheetId="3" xfDxf="1" sqref="A99:XFD99" start="0" length="0"/>
    <rcc rId="0" sId="3" dxf="1">
      <nc r="A99" t="inlineStr">
        <is>
          <t>GlobalCon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top style="thin">
            <color rgb="FF000000"/>
          </top>
        </border>
      </ndxf>
    </rcc>
    <rcc rId="0" sId="3" dxf="1" numFmtId="4">
      <nc r="B99">
        <v>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3" sqref="C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D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E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3" dxf="1">
      <nc r="F99">
        <f>SUM(B99:E99)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00"/>
            <bgColor rgb="FFFFFF00"/>
          </patternFill>
        </fill>
        <border outline="0">
          <right style="thin">
            <color rgb="FF000000"/>
          </right>
          <top style="thin">
            <color rgb="FF000000"/>
          </top>
        </border>
      </ndxf>
    </rcc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26" sId="3" ref="A99:XFD99" action="deleteRow">
    <undo index="65535" exp="area" dr="F99" r="F100" sId="3"/>
    <undo index="65535" exp="area" dr="E99" r="E100" sId="3"/>
    <undo index="65535" exp="area" dr="D99" r="D100" sId="3"/>
    <undo index="65535" exp="area" dr="C99" r="C100" sId="3"/>
    <undo index="65535" exp="area" dr="B99" r="B100" sId="3"/>
    <rfmt sheetId="3" xfDxf="1" sqref="A99:XFD99" start="0" length="0"/>
    <rfmt sheetId="3" sqref="A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dxf>
    </rfmt>
    <rfmt sheetId="3" sqref="B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C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D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E9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F99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00"/>
            <bgColor rgb="FFFFFF00"/>
          </patternFill>
        </fill>
        <border outline="0">
          <right style="thin">
            <color rgb="FF000000"/>
          </right>
        </border>
      </dxf>
    </rfmt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27" sId="3" ref="A99:XFD99" action="deleteRow">
    <undo index="65535" exp="ref" ref3D="1" v="1" dr="D99" r="F70" sId="2"/>
    <undo index="65535" exp="ref" ref3D="1" v="1" dr="C99" r="F69" sId="2"/>
    <undo index="65535" exp="ref" ref3D="1" v="1" dr="B99" r="F69" sId="2"/>
    <undo index="65535" exp="ref" v="1" dr="F99" r="B109" sId="3"/>
    <rfmt sheetId="3" xfDxf="1" sqref="A99:XFD99" start="0" length="0"/>
    <rcc rId="0" sId="3" dxf="1">
      <nc r="A99" t="inlineStr">
        <is>
          <t>SUM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top style="thin">
            <color rgb="FF000000"/>
          </top>
          <bottom style="thin">
            <color rgb="FF000000"/>
          </bottom>
        </border>
      </ndxf>
    </rcc>
    <rcc rId="0" sId="3" dxf="1">
      <nc r="B99">
        <f>SUM(#REF!)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ndxf>
    </rcc>
    <rcc rId="0" sId="3" dxf="1">
      <nc r="C99">
        <f>SUM(#REF!)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ndxf>
    </rcc>
    <rcc rId="0" sId="3" dxf="1">
      <nc r="D99">
        <f>SUM(#REF!)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ndxf>
    </rcc>
    <rcc rId="0" sId="3" dxf="1">
      <nc r="E99">
        <f>SUM(#REF!)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ndxf>
    </rcc>
    <rcc rId="0" sId="3" dxf="1">
      <nc r="F99">
        <f>SUM(#REF!)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00"/>
            <bgColor rgb="FFFFFF00"/>
          </patternFill>
        </fill>
        <border outline="0">
          <right style="thin">
            <color rgb="FF000000"/>
          </right>
          <top style="thin">
            <color rgb="FF000000"/>
          </top>
          <bottom style="thin">
            <color rgb="FF000000"/>
          </bottom>
        </border>
      </ndxf>
    </rcc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28" sId="3" ref="A99:XFD99" action="deleteRow">
    <rfmt sheetId="3" xfDxf="1" sqref="A99:XFD99" start="0" length="0"/>
    <rfmt sheetId="3" sqref="A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B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29" sId="3" ref="A99:XFD99" action="deleteRow">
    <rfmt sheetId="3" xfDxf="1" sqref="A99:XFD99" start="0" length="0"/>
    <rfmt sheetId="3" sqref="A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B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430" sId="3" ref="A99:XFD99" action="deleteRow">
    <rfmt sheetId="3" xfDxf="1" sqref="A99:XFD99" start="0" length="0"/>
    <rfmt sheetId="3" sqref="A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B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92" sId="8">
    <nc r="E1" t="inlineStr">
      <is>
        <t>Village</t>
      </is>
    </nc>
  </rcc>
  <rcc rId="2193" sId="8">
    <nc r="F1">
      <f>1599.12</f>
    </nc>
  </rcc>
  <rcc rId="2194" sId="8">
    <nc r="G1">
      <f>F1/4</f>
    </nc>
  </rcc>
  <rm rId="2195" sheetId="8" source="E1:G1" destination="E2:G2" sourceSheetId="8">
    <rfmt sheetId="8" sqref="E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F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G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</rm>
  <rcc rId="2196" sId="8">
    <nc r="H2">
      <f>G2/28</f>
    </nc>
  </rcc>
  <rcc rId="2197" sId="8" odxf="1" dxf="1">
    <nc r="I2">
      <f>B7</f>
    </nc>
    <odxf>
      <numFmt numFmtId="0" formatCode="General"/>
    </odxf>
    <ndxf>
      <numFmt numFmtId="7" formatCode="#,##0.00;\-#,##0.00"/>
    </ndxf>
  </rcc>
  <rcc rId="2198" sId="8">
    <nc r="F1" t="inlineStr">
      <is>
        <t>Per delegasjon</t>
      </is>
    </nc>
  </rcc>
  <rcc rId="2199" sId="8">
    <nc r="G1" t="inlineStr">
      <is>
        <t>Per deltaker</t>
      </is>
    </nc>
  </rcc>
  <rcc rId="2200" sId="8">
    <nc r="H1" t="inlineStr">
      <is>
        <t>Per døgn per deltaker</t>
      </is>
    </nc>
  </rcc>
  <rcc rId="2201" sId="8" numFmtId="4">
    <oc r="B8">
      <f>22.66*1.03</f>
    </oc>
    <nc r="B8">
      <v>0</v>
    </nc>
  </rcc>
  <rcc rId="2202" sId="8">
    <nc r="E3" t="inlineStr">
      <is>
        <t>Step Up</t>
      </is>
    </nc>
  </rcc>
  <rcc rId="2203" sId="8">
    <nc r="F3">
      <f>1335.02</f>
    </nc>
  </rcc>
  <rcc rId="2204" sId="8">
    <nc r="G3">
      <f>F3/4</f>
    </nc>
  </rcc>
  <rcc rId="2205" sId="8">
    <nc r="H3">
      <f>G3/23</f>
    </nc>
  </rcc>
  <rcc rId="2206" sId="8">
    <nc r="E4" t="inlineStr">
      <is>
        <t>JC</t>
      </is>
    </nc>
  </rcc>
  <rcc rId="2207" sId="8">
    <nc r="G4">
      <f>393.76</f>
    </nc>
  </rcc>
  <rcc rId="2208" sId="8">
    <nc r="H4">
      <f>G4/28</f>
    </nc>
  </rcc>
  <rm rId="2209" sheetId="8" source="E1:J5" destination="H1:M5" sourceSheetId="8">
    <rfmt sheetId="8" sqref="K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L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K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L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K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L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K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L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K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L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</rm>
  <rcc rId="2210" sId="8">
    <nc r="I5">
      <v>771.53</v>
    </nc>
  </rcc>
  <rcc rId="2211" sId="8">
    <nc r="J5">
      <f>I5/6</f>
    </nc>
  </rcc>
  <rcc rId="2212" sId="8">
    <nc r="K5">
      <f>J5/8</f>
    </nc>
  </rcc>
  <rcc rId="2213" sId="8">
    <nc r="H5" t="inlineStr">
      <is>
        <t>Youth Meeting 12-15år 8 dager</t>
      </is>
    </nc>
  </rcc>
  <rcc rId="2214" sId="8">
    <nc r="H6" t="inlineStr">
      <is>
        <t>Youth Meeting 12-15år 15 dager</t>
      </is>
    </nc>
  </rcc>
  <rcc rId="2215" sId="8">
    <nc r="I6">
      <f>1326.12</f>
    </nc>
  </rcc>
  <rcc rId="2216" sId="8">
    <nc r="J6">
      <f>I6/6</f>
    </nc>
  </rcc>
  <rcc rId="2217" sId="8">
    <nc r="K6">
      <f>J6/15</f>
    </nc>
  </rcc>
  <rcc rId="2218" sId="8">
    <nc r="H7" t="inlineStr">
      <is>
        <t>Youth meeting 16+ 8 dager</t>
      </is>
    </nc>
  </rcc>
  <rcc rId="2219" sId="8">
    <nc r="H8" t="inlineStr">
      <is>
        <t>Youth meeting 16+ 15 dager</t>
      </is>
    </nc>
  </rcc>
  <rcc rId="2220" sId="8">
    <nc r="I7">
      <f>125.31</f>
    </nc>
  </rcc>
  <rm rId="2221" sheetId="8" source="I7" destination="J7" sourceSheetId="8">
    <rfmt sheetId="8" sqref="J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</rm>
  <rcc rId="2222" sId="8">
    <nc r="K7">
      <f>J7/8</f>
    </nc>
  </rcc>
  <rcc rId="2223" sId="8">
    <nc r="J8">
      <v>216.81</v>
    </nc>
  </rcc>
  <rcc rId="2224" sId="8">
    <nc r="K8">
      <f>J8/15</f>
    </nc>
  </rcc>
  <rcc rId="2225" sId="8">
    <nc r="H9" t="inlineStr">
      <is>
        <t>Seminarleir</t>
      </is>
    </nc>
  </rcc>
  <rcc rId="2226" sId="8">
    <nc r="J9">
      <f>301.34</f>
    </nc>
  </rcc>
  <rcc rId="2227" sId="8">
    <nc r="K9">
      <f>J9/21</f>
    </nc>
  </rcc>
  <rcc rId="2228" sId="8">
    <nc r="H10" t="inlineStr">
      <is>
        <t>IPP (kort) 14-18 dager</t>
      </is>
    </nc>
  </rcc>
  <rcc rId="2229" sId="8">
    <nc r="H11" t="inlineStr">
      <is>
        <t>IPP (lang) 19-23 dager</t>
      </is>
    </nc>
  </rcc>
  <rcc rId="2230" sId="8">
    <nc r="J10">
      <f>135.03</f>
    </nc>
  </rcc>
  <rcc rId="2231" sId="8">
    <nc r="J11">
      <f>171.08</f>
    </nc>
  </rcc>
  <rcc rId="2232" sId="8">
    <nc r="K10">
      <f>J10/16</f>
    </nc>
  </rcc>
  <rcc rId="2233" sId="8">
    <nc r="K11">
      <f>J11/21</f>
    </nc>
  </rcc>
  <rfmt sheetId="8" sqref="H1:H11" start="0" length="0">
    <dxf>
      <border>
        <left style="thin">
          <color indexed="64"/>
        </left>
      </border>
    </dxf>
  </rfmt>
  <rfmt sheetId="8" sqref="H1:K1" start="0" length="0">
    <dxf>
      <border>
        <top style="thin">
          <color indexed="64"/>
        </top>
      </border>
    </dxf>
  </rfmt>
  <rfmt sheetId="8" sqref="K1:K11" start="0" length="0">
    <dxf>
      <border>
        <right style="thin">
          <color indexed="64"/>
        </right>
      </border>
    </dxf>
  </rfmt>
  <rfmt sheetId="8" sqref="H11:K11" start="0" length="0">
    <dxf>
      <border>
        <bottom style="thin">
          <color indexed="64"/>
        </bottom>
      </border>
    </dxf>
  </rfmt>
  <rfmt sheetId="8" sqref="H1:K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2234" sId="8">
    <nc r="H12" t="inlineStr">
      <is>
        <t>IC</t>
      </is>
    </nc>
  </rcc>
  <rcc rId="2235" sId="8">
    <nc r="I12">
      <f>1332.59</f>
    </nc>
  </rcc>
  <rcc rId="2236" sId="8">
    <nc r="J12">
      <f>I12/8</f>
    </nc>
  </rcc>
  <rfmt sheetId="8" sqref="H12" start="0" length="0">
    <dxf>
      <border>
        <left style="thin">
          <color indexed="64"/>
        </left>
      </border>
    </dxf>
  </rfmt>
  <rfmt sheetId="8" sqref="K12" start="0" length="0">
    <dxf>
      <border>
        <right style="thin">
          <color indexed="64"/>
        </right>
      </border>
    </dxf>
  </rfmt>
  <rfmt sheetId="8" sqref="H12:K12" start="0" length="0">
    <dxf>
      <border>
        <bottom style="thin">
          <color indexed="64"/>
        </bottom>
      </border>
    </dxf>
  </rfmt>
  <rfmt sheetId="8" sqref="H12:K1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rc rId="2237" sId="8" ref="A8:XFD8" action="insertRow"/>
  <rrc rId="2238" sId="8" ref="A8:XFD8" action="insertRow"/>
  <rrc rId="2239" sId="8" ref="A8:XFD8" action="insertRow"/>
  <rrc rId="2240" sId="8" ref="A8:XFD8" action="insertRow"/>
  <rrc rId="2241" sId="8" ref="A8:XFD8" action="insertRow"/>
  <rm rId="2242" sheetId="8" source="H13:K17" destination="H8:K12" sourceSheetId="8">
    <rfmt sheetId="8" sqref="H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J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K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H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J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K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H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0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J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K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H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1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J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K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H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I12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J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qref="K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rc rId="2243" sId="8" ref="A9:XFD9" action="insertRow"/>
  <rrc rId="2244" sId="8" ref="A9:XFD9" action="insertRow"/>
  <rrc rId="2245" sId="8" ref="A9:XFD9" action="insertRow"/>
  <rrc rId="2246" sId="8" ref="A9:XFD9" action="insertRow"/>
  <rrc rId="2247" sId="8" ref="A8:XFD8" action="insertRow"/>
  <rrc rId="2248" sId="8" ref="A8:XFD8" action="insertRow"/>
  <rfmt sheetId="8" sqref="A7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8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9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0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1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2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3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4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5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6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8" sqref="A17" start="0" length="0">
    <dxf>
      <font>
        <sz val="11"/>
        <color rgb="FF000000"/>
        <name val="Calibri"/>
        <family val="2"/>
        <scheme val="none"/>
      </font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2249" sId="8">
    <oc r="A7" t="inlineStr">
      <is>
        <t>Internasjonal avgift</t>
      </is>
    </oc>
    <nc r="A7" t="inlineStr">
      <is>
        <t>Internasjonal avgift Village</t>
      </is>
    </nc>
  </rcc>
  <rcc rId="2250" sId="8">
    <nc r="A8" t="inlineStr">
      <is>
        <t>Internasjonal avgift Step Up</t>
      </is>
    </nc>
  </rcc>
  <rcc rId="2251" sId="8">
    <nc r="A9" t="inlineStr">
      <is>
        <t>Internasjonal avgift JC</t>
      </is>
    </nc>
  </rcc>
  <rcc rId="2252" sId="8">
    <nc r="A10" t="inlineStr">
      <is>
        <t>Internasjonal avgift Youth Meeting 12-15år 8 dager</t>
      </is>
    </nc>
  </rcc>
  <rcc rId="2253" sId="8">
    <nc r="A11" t="inlineStr">
      <is>
        <t>Internasjonal avgift Youth Meeting 12-15år 15 dager</t>
      </is>
    </nc>
  </rcc>
  <rcc rId="2254" sId="8">
    <nc r="A12" t="inlineStr">
      <is>
        <t>Internasjonal avgift Youth meeting 16+ 8 dager</t>
      </is>
    </nc>
  </rcc>
  <rcc rId="2255" sId="8">
    <nc r="A13" t="inlineStr">
      <is>
        <t>Internasjonal avgift Youth meeting 16+ 15 dager</t>
      </is>
    </nc>
  </rcc>
  <rcc rId="2256" sId="8">
    <nc r="A14" t="inlineStr">
      <is>
        <t>Internasjonal avgift Seminarleir</t>
      </is>
    </nc>
  </rcc>
  <rcc rId="2257" sId="8">
    <nc r="A15" t="inlineStr">
      <is>
        <t>Internasjonal avgift IPP (kort) 14-18 dager</t>
      </is>
    </nc>
  </rcc>
  <rcc rId="2258" sId="8">
    <nc r="A16" t="inlineStr">
      <is>
        <t>Internasjonal avgift IPP (lang) 19-23 dager</t>
      </is>
    </nc>
  </rcc>
  <rcc rId="2259" sId="8">
    <nc r="A17" t="inlineStr">
      <is>
        <t>Internasjonal avgift IC</t>
      </is>
    </nc>
  </rcc>
  <rcc rId="2260" sId="8" odxf="1" dxf="1">
    <oc r="B7">
      <f>12.45*1.03</f>
    </oc>
    <nc r="B7">
      <v>399.78</v>
    </nc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1" sId="8" odxf="1" dxf="1">
    <nc r="B8">
      <v>333.755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2" sId="8" odxf="1" dxf="1">
    <nc r="B9">
      <v>393.76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3" sId="8" odxf="1" dxf="1">
    <nc r="B10">
      <v>128.58833333333334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4" sId="8" odxf="1" dxf="1">
    <nc r="B11">
      <v>221.01999999999998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5" sId="8" odxf="1" dxf="1">
    <nc r="B12">
      <v>125.31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6" sId="8" odxf="1" dxf="1">
    <nc r="B13">
      <v>216.81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7" sId="8" odxf="1" dxf="1">
    <nc r="B14">
      <v>301.33999999999997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8" sId="8" odxf="1" dxf="1">
    <nc r="B15">
      <v>135.03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69" sId="8" odxf="1" dxf="1">
    <nc r="B16">
      <v>171.08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70" sId="8" odxf="1" dxf="1">
    <nc r="B17">
      <v>166.57374999999999</v>
    </nc>
    <odxf>
      <font>
        <color auto="1"/>
        <family val="2"/>
      </font>
      <numFmt numFmtId="7" formatCode="#,##0.00;\-#,##0.00"/>
      <fill>
        <patternFill>
          <fgColor rgb="FFA9D18E"/>
          <bgColor rgb="FF92D050"/>
        </patternFill>
      </fill>
      <alignment vertical="bottom"/>
      <border outline="0">
        <left/>
        <right style="thin">
          <color rgb="FF000000"/>
        </right>
        <top/>
        <bottom style="thin">
          <color rgb="FF000000"/>
        </bottom>
      </border>
    </odxf>
    <ndxf>
      <font>
        <sz val="11"/>
        <color auto="1"/>
        <name val="Calibri"/>
        <family val="2"/>
      </font>
      <numFmt numFmtId="0" formatCode="General"/>
      <fill>
        <patternFill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2271" sId="8">
    <oc r="C7" t="inlineStr">
      <is>
        <t>£ pr døgn pr deltaker (unntatt IPP)</t>
      </is>
    </oc>
    <nc r="C7" t="inlineStr">
      <is>
        <t xml:space="preserve">£  pr deltaker </t>
      </is>
    </nc>
  </rcc>
  <rcc rId="2272" sId="8">
    <nc r="C8" t="inlineStr">
      <is>
        <t xml:space="preserve">£  pr deltaker </t>
      </is>
    </nc>
  </rcc>
  <rcc rId="2273" sId="8">
    <nc r="C9" t="inlineStr">
      <is>
        <t xml:space="preserve">£  pr deltaker </t>
      </is>
    </nc>
  </rcc>
  <rcc rId="2274" sId="8">
    <nc r="C10" t="inlineStr">
      <is>
        <t xml:space="preserve">£  pr deltaker </t>
      </is>
    </nc>
  </rcc>
  <rcc rId="2275" sId="8">
    <nc r="C11" t="inlineStr">
      <is>
        <t xml:space="preserve">£  pr deltaker </t>
      </is>
    </nc>
  </rcc>
  <rcc rId="2276" sId="8">
    <nc r="C12" t="inlineStr">
      <is>
        <t xml:space="preserve">£  pr deltaker </t>
      </is>
    </nc>
  </rcc>
  <rcc rId="2277" sId="8">
    <nc r="C13" t="inlineStr">
      <is>
        <t xml:space="preserve">£  pr deltaker </t>
      </is>
    </nc>
  </rcc>
  <rcc rId="2278" sId="8">
    <nc r="C14" t="inlineStr">
      <is>
        <t xml:space="preserve">£  pr deltaker </t>
      </is>
    </nc>
  </rcc>
  <rcc rId="2279" sId="8">
    <nc r="C15" t="inlineStr">
      <is>
        <t xml:space="preserve">£  pr deltaker </t>
      </is>
    </nc>
  </rcc>
  <rcc rId="2280" sId="8">
    <nc r="C16" t="inlineStr">
      <is>
        <t xml:space="preserve">£  pr deltaker </t>
      </is>
    </nc>
  </rcc>
  <rcc rId="2281" sId="8">
    <nc r="C17" t="inlineStr">
      <is>
        <t xml:space="preserve">£  pr deltaker </t>
      </is>
    </nc>
  </rcc>
  <rfmt sheetId="8" sqref="B18:B41">
    <dxf>
      <fill>
        <patternFill patternType="none">
          <fgColor indexed="64"/>
          <bgColor auto="1"/>
        </patternFill>
      </fill>
    </dxf>
  </rfmt>
  <rrc rId="2282" sId="8" ref="A19:XFD19" action="deleteRow">
    <undo index="0" exp="ref" ref3D="1" v="1" dr="B19" r="C75" sId="5"/>
    <undo index="0" exp="ref" ref3D="1" v="1" dr="B19" r="B75" sId="5"/>
    <undo index="0" exp="ref" ref3D="1" v="1" dr="B19" r="B64" sId="5"/>
    <undo index="0" exp="ref" ref3D="1" v="1" dr="B19" r="B39" sId="5"/>
    <undo index="0" exp="ref" ref3D="1" v="1" dr="$B$19" r="E24" sId="5"/>
    <undo index="0" exp="ref" ref3D="1" v="1" dr="$B$19" r="D24" sId="5"/>
    <undo index="0" exp="ref" ref3D="1" v="1" dr="$B$19" r="C24" sId="5"/>
    <undo index="0" exp="ref" ref3D="1" v="1" dr="$B$19" r="B24" sId="5"/>
    <undo index="0" exp="ref" ref3D="1" v="1" dr="$B$19" r="F10" sId="5"/>
    <undo index="0" exp="ref" ref3D="1" v="1" dr="$B$19" r="E10" sId="5"/>
    <undo index="0" exp="ref" ref3D="1" v="1" dr="$B$19" r="D10" sId="5"/>
    <undo index="0" exp="ref" ref3D="1" v="1" dr="$B$19" r="C10" sId="5"/>
    <undo index="0" exp="ref" ref3D="1" v="1" dr="$B$19" r="B10" sId="5"/>
    <undo index="65535" exp="ref" ref3D="1" v="1" dr="$B$19" r="G49" sId="4"/>
    <undo index="1" exp="ref" ref3D="1" v="1" dr="B19" r="F49" sId="4"/>
    <undo index="0" exp="ref" ref3D="1" v="1" dr="B19" r="E49" sId="4"/>
    <undo index="0" exp="ref" ref3D="1" v="1" dr="$B$19" r="D49" sId="4"/>
    <undo index="0" exp="ref" ref3D="1" v="1" dr="$B$19" r="C49" sId="4"/>
    <undo index="0" exp="ref" ref3D="1" v="1" dr="$B$19" r="B49" sId="4"/>
    <undo index="65535" exp="ref" ref3D="1" v="1" dr="$B$19" r="G15" sId="4"/>
    <undo index="1" exp="ref" ref3D="1" v="1" dr="B19" r="F15" sId="4"/>
    <undo index="0" exp="ref" ref3D="1" v="1" dr="B19" r="E15" sId="4"/>
    <undo index="0" exp="ref" ref3D="1" v="1" dr="$B$19" r="D15" sId="4"/>
    <undo index="0" exp="ref" ref3D="1" v="1" dr="$B$19" r="C15" sId="4"/>
    <undo index="0" exp="ref" ref3D="1" v="1" dr="$B$19" r="B15" sId="4"/>
    <rfmt sheetId="8" xfDxf="1" sqref="A19:XFD19" start="0" length="0"/>
    <rcc rId="0" sId="8" dxf="1">
      <nc r="A19" t="inlineStr">
        <is>
          <t xml:space="preserve">Internasjonal forsikring </t>
        </is>
      </nc>
      <ndxf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cc rId="0" sId="8" dxf="1" numFmtId="4">
      <nc r="B19">
        <v>0</v>
      </nc>
      <ndxf>
        <numFmt numFmtId="7" formatCode="#,##0.00;\-#,##0.00"/>
        <border outline="0">
          <right style="thin">
            <color rgb="FF000000"/>
          </right>
          <bottom style="thin">
            <color rgb="FF000000"/>
          </bottom>
        </border>
      </ndxf>
    </rcc>
    <rcc rId="0" sId="8" dxf="1">
      <nc r="C19" t="inlineStr">
        <is>
          <t>£ per deltager</t>
        </is>
      </nc>
      <ndxf>
        <font>
          <sz val="11"/>
          <color rgb="FF000000"/>
          <name val="Calibri"/>
          <family val="2"/>
          <scheme val="none"/>
        </font>
      </ndxf>
    </rcc>
    <rfmt sheetId="8" sqref="D19" start="0" length="0">
      <dxf>
        <fill>
          <patternFill patternType="solid">
            <fgColor rgb="FFFFFFFF"/>
            <bgColor rgb="FFFFFFFF"/>
          </patternFill>
        </fill>
        <border outline="0">
          <right style="thin">
            <color rgb="FF000000"/>
          </right>
        </border>
      </dxf>
    </rfmt>
    <rfmt sheetId="8" sqref="E19" start="0" length="0">
      <dxf>
        <font>
          <sz val="10"/>
          <color auto="1"/>
          <name val="Arial"/>
          <family val="2"/>
          <scheme val="none"/>
        </font>
        <alignment/>
        <border outline="0">
          <left style="thin">
            <color rgb="FF000000"/>
          </left>
        </border>
      </dxf>
    </rfmt>
    <rfmt sheetId="8" sqref="F19" start="0" length="0">
      <dxf>
        <alignment/>
      </dxf>
    </rfmt>
    <rfmt sheetId="8" sqref="G19" start="0" length="0">
      <dxf>
        <font>
          <sz val="10"/>
          <color auto="1"/>
          <name val="Arial"/>
          <family val="2"/>
          <scheme val="none"/>
        </font>
        <alignment/>
      </dxf>
    </rfmt>
    <rfmt sheetId="8" sqref="L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N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O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P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Q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R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S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T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U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V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W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X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Y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Z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283" sId="8" ref="A19:XFD19" action="deleteRow">
    <undo index="0" exp="ref" ref3D="1" v="1" dr="B19" r="C74" sId="5"/>
    <undo index="0" exp="ref" ref3D="1" v="1" dr="B19" r="B74" sId="5"/>
    <undo index="6" exp="ref" ref3D="1" v="1" dr="$B$19" r="G47" sId="4"/>
    <undo index="0" exp="ref" ref3D="1" v="1" dr="$B$19" r="G47" sId="4"/>
    <undo index="6" exp="ref" ref3D="1" v="1" dr="$B$19" r="G12" sId="4"/>
    <undo index="0" exp="ref" ref3D="1" v="1" dr="$B$19" r="G12" sId="4"/>
    <rfmt sheetId="8" xfDxf="1" sqref="A19:XFD19" start="0" length="0"/>
    <rcc rId="0" sId="8" dxf="1">
      <nc r="A19" t="inlineStr">
        <is>
          <t>Internasjonal avgift - IPP</t>
        </is>
      </nc>
      <ndxf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cc rId="0" sId="8" dxf="1">
      <nc r="B19">
        <f>6.8*1.03</f>
      </nc>
      <ndxf>
        <numFmt numFmtId="7" formatCode="#,##0.00;\-#,##0.00"/>
        <border outline="0">
          <right style="thin">
            <color rgb="FF000000"/>
          </right>
          <bottom style="thin">
            <color rgb="FF000000"/>
          </bottom>
        </border>
      </ndxf>
    </rcc>
    <rcc rId="0" sId="8" dxf="1">
      <nc r="C19" t="inlineStr">
        <is>
          <t>£ pr døgn pr deltaker</t>
        </is>
      </nc>
      <ndxf>
        <fill>
          <patternFill patternType="solid">
            <fgColor rgb="FFFFFFFF"/>
            <bgColor rgb="FFFFFFFF"/>
          </patternFill>
        </fill>
      </ndxf>
    </rcc>
    <rfmt sheetId="8" sqref="D19" start="0" length="0">
      <dxf>
        <fill>
          <patternFill patternType="solid">
            <fgColor rgb="FFFFFFFF"/>
            <bgColor rgb="FFFFFFFF"/>
          </patternFill>
        </fill>
        <border outline="0">
          <right style="thin">
            <color rgb="FF000000"/>
          </right>
        </border>
      </dxf>
    </rfmt>
    <rfmt sheetId="8" sqref="E19" start="0" length="0">
      <dxf>
        <font>
          <sz val="10"/>
          <color auto="1"/>
          <name val="Arial"/>
          <family val="2"/>
          <scheme val="none"/>
        </font>
        <alignment/>
        <border outline="0">
          <left style="thin">
            <color rgb="FF000000"/>
          </left>
        </border>
      </dxf>
    </rfmt>
    <rfmt sheetId="8" sqref="F19" start="0" length="0">
      <dxf>
        <alignment/>
      </dxf>
    </rfmt>
    <rfmt sheetId="8" sqref="G19" start="0" length="0">
      <dxf>
        <font>
          <sz val="10"/>
          <color auto="1"/>
          <name val="Arial"/>
          <family val="2"/>
          <scheme val="none"/>
        </font>
        <alignment/>
      </dxf>
    </rfmt>
    <rfmt sheetId="8" sqref="L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N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O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P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Q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R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S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T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U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V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W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X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Y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Z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284" sId="8" ref="A19:XFD19" action="deleteRow">
    <undo index="0" exp="ref" ref3D="1" v="1" dr="$B$19" r="G52" sId="5"/>
    <undo index="0" exp="ref" ref3D="1" v="1" dr="$B$19" r="F52" sId="5"/>
    <undo index="0" exp="ref" ref3D="1" v="1" dr="$B$19" r="E52" sId="5"/>
    <undo index="0" exp="ref" ref3D="1" v="1" dr="$B$19" r="D52" sId="5"/>
    <undo index="0" exp="ref" ref3D="1" v="1" dr="$B$19" r="C52" sId="5"/>
    <undo index="0" exp="ref" ref3D="1" v="1" dr="$B$19" r="B52" sId="5"/>
    <rfmt sheetId="8" xfDxf="1" sqref="A19:XFD19" start="0" length="0"/>
    <rcc rId="0" sId="8" dxf="1">
      <nc r="A19" t="inlineStr">
        <is>
          <t>Internasjonal forsikring - IPP og Youth Meeting</t>
        </is>
      </nc>
      <ndxf>
        <font>
          <sz val="10"/>
          <color rgb="FF000000"/>
          <name val="Arial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cc rId="0" sId="8" dxf="1">
      <nc r="B19">
        <f>18.54*1.03</f>
      </nc>
      <ndxf>
        <numFmt numFmtId="7" formatCode="#,##0.00;\-#,##0.00"/>
        <border outline="0">
          <right style="thin">
            <color rgb="FF000000"/>
          </right>
          <bottom style="thin">
            <color rgb="FF000000"/>
          </bottom>
        </border>
      </ndxf>
    </rcc>
    <rcc rId="0" sId="8" dxf="1">
      <nc r="C19" t="inlineStr">
        <is>
          <t>£ per deltager</t>
        </is>
      </nc>
      <ndxf>
        <font>
          <sz val="11"/>
          <color rgb="FF000000"/>
          <name val="Calibri"/>
          <family val="2"/>
          <scheme val="none"/>
        </font>
      </ndxf>
    </rcc>
    <rfmt sheetId="8" sqref="D19" start="0" length="0">
      <dxf>
        <fill>
          <patternFill patternType="solid">
            <fgColor rgb="FFFFFFFF"/>
            <bgColor rgb="FFFFFFFF"/>
          </patternFill>
        </fill>
        <border outline="0">
          <right style="thin">
            <color rgb="FF000000"/>
          </right>
        </border>
      </dxf>
    </rfmt>
    <rfmt sheetId="8" sqref="E19" start="0" length="0">
      <dxf>
        <font>
          <sz val="10"/>
          <color auto="1"/>
          <name val="Arial"/>
          <family val="2"/>
          <scheme val="none"/>
        </font>
        <alignment/>
        <border outline="0">
          <left style="thin">
            <color rgb="FF000000"/>
          </left>
        </border>
      </dxf>
    </rfmt>
    <rfmt sheetId="8" sqref="F19" start="0" length="0">
      <dxf>
        <alignment/>
      </dxf>
    </rfmt>
    <rfmt sheetId="8" sqref="G19" start="0" length="0">
      <dxf>
        <font>
          <sz val="10"/>
          <color auto="1"/>
          <name val="Arial"/>
          <family val="2"/>
          <scheme val="none"/>
        </font>
        <alignment/>
      </dxf>
    </rfmt>
    <rfmt sheetId="8" sqref="L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N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O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P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Q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R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S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T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U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V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W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X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Y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Z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285" sId="8" ref="A19:XFD19" action="deleteRow">
    <undo index="0" exp="ref" ref3D="1" v="1" dr="$B$19" r="B37" sId="5"/>
    <undo index="65535" exp="ref" ref3D="1" v="1" dr="$B$19" r="D47" sId="4"/>
    <undo index="65535" exp="ref" ref3D="1" v="1" dr="$B$19" r="D12" sId="4"/>
    <rfmt sheetId="8" xfDxf="1" sqref="A19:XFD19" start="0" length="0"/>
    <rcc rId="0" sId="8" dxf="1">
      <nc r="A19" t="inlineStr">
        <is>
          <t>Internasjonal avgift - Interchange</t>
        </is>
      </nc>
      <ndxf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cc rId="0" sId="8" dxf="1">
      <nc r="B19">
        <f>102.95*1.03</f>
      </nc>
      <ndxf>
        <numFmt numFmtId="7" formatCode="#,##0.00;\-#,##0.00"/>
        <border outline="0">
          <right style="thin">
            <color rgb="FF000000"/>
          </right>
          <bottom style="thin">
            <color rgb="FF000000"/>
          </bottom>
        </border>
      </ndxf>
    </rcc>
    <rcc rId="0" sId="8" dxf="1">
      <nc r="C19" t="inlineStr">
        <is>
          <t>£ pr. deltaker</t>
        </is>
      </nc>
      <ndxf>
        <fill>
          <patternFill patternType="solid">
            <fgColor rgb="FFFFFFFF"/>
            <bgColor rgb="FFFFFFFF"/>
          </patternFill>
        </fill>
      </ndxf>
    </rcc>
    <rfmt sheetId="8" sqref="D19" start="0" length="0">
      <dxf>
        <fill>
          <patternFill patternType="solid">
            <fgColor rgb="FFFFFFFF"/>
            <bgColor rgb="FFFFFFFF"/>
          </patternFill>
        </fill>
        <border outline="0">
          <right style="thin">
            <color rgb="FF000000"/>
          </right>
        </border>
      </dxf>
    </rfmt>
    <rfmt sheetId="8" sqref="E19" start="0" length="0">
      <dxf>
        <font>
          <sz val="10"/>
          <color auto="1"/>
          <name val="Arial"/>
          <family val="2"/>
          <scheme val="none"/>
        </font>
        <alignment/>
        <border outline="0">
          <left style="thin">
            <color rgb="FF000000"/>
          </left>
        </border>
      </dxf>
    </rfmt>
    <rfmt sheetId="8" sqref="F19" start="0" length="0">
      <dxf>
        <alignment/>
      </dxf>
    </rfmt>
    <rfmt sheetId="8" sqref="G19" start="0" length="0">
      <dxf>
        <font>
          <sz val="10"/>
          <color auto="1"/>
          <name val="Arial"/>
          <family val="2"/>
          <scheme val="none"/>
        </font>
        <alignment/>
      </dxf>
    </rfmt>
    <rfmt sheetId="8" sqref="L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M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N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O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alignment vertical="center"/>
      </dxf>
    </rfmt>
    <rfmt sheetId="8" sqref="P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Q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R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S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T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U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V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W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X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Y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8" sqref="Z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fmt sheetId="8" sqref="B7:B17">
    <dxf>
      <numFmt numFmtId="170" formatCode="0.0"/>
    </dxf>
  </rfmt>
  <rfmt sheetId="8" sqref="B7:B17">
    <dxf>
      <numFmt numFmtId="2" formatCode="0.00"/>
    </dxf>
  </rfmt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31" sId="4">
    <oc r="B12">
      <f>-(('Oversikt Variabler'!B7*28*'Oversikt Variabler'!B3)*('Oversikt Variabler'!B42*4)+('Oversikt Variabler'!B43*'Oversikt Variabler'!B7*'Oversikt Variabler'!B3*28))</f>
    </oc>
    <nc r="B12">
      <f>-('Oversikt Variabler'!B4*(('Oversikt Variabler'!B7*'Oversikt Variabler'!B42*4)+('Oversikt Variabler'!B43*'Oversikt Variabler'!B9)))</f>
    </nc>
  </rcc>
  <rfmt sheetId="8" sqref="B40" start="0" length="0">
    <dxf>
      <font>
        <sz val="10"/>
        <color rgb="FF000000"/>
        <name val="Arial"/>
        <family val="2"/>
        <scheme val="none"/>
      </font>
      <fill>
        <patternFill>
          <fgColor rgb="FFA9D18E"/>
          <bgColor rgb="FF92D050"/>
        </patternFill>
      </fill>
      <border outline="0">
        <top/>
      </border>
    </dxf>
  </rfmt>
  <rfmt sheetId="8" sqref="B41" start="0" length="0">
    <dxf>
      <font>
        <sz val="10"/>
        <color rgb="FF000000"/>
        <name val="Arial"/>
        <family val="2"/>
        <scheme val="none"/>
      </font>
      <fill>
        <patternFill>
          <fgColor rgb="FFA9D18E"/>
          <bgColor rgb="FF92D050"/>
        </patternFill>
      </fill>
    </dxf>
  </rfmt>
  <rcc rId="2432" sId="8">
    <oc r="B42">
      <f>SUM(C42:F42)</f>
    </oc>
    <nc r="B42">
      <v>47</v>
    </nc>
  </rcc>
  <rfmt sheetId="8" sqref="B40:B41">
    <dxf>
      <fill>
        <patternFill patternType="none">
          <fgColor indexed="64"/>
          <bgColor auto="1"/>
        </patternFill>
      </fill>
    </dxf>
  </rfmt>
  <rfmt sheetId="8" sqref="A39" start="0" length="0">
    <dxf>
      <border>
        <left style="thin">
          <color indexed="64"/>
        </left>
      </border>
    </dxf>
  </rfmt>
  <rfmt sheetId="8" sqref="A39:D39" start="0" length="0">
    <dxf>
      <border>
        <top style="thin">
          <color indexed="64"/>
        </top>
      </border>
    </dxf>
  </rfmt>
  <rfmt sheetId="8" sqref="D39" start="0" length="0">
    <dxf>
      <border>
        <right style="thin">
          <color indexed="64"/>
        </right>
      </border>
    </dxf>
  </rfmt>
  <rfmt sheetId="8" sqref="A39:D39" start="0" length="0">
    <dxf>
      <border>
        <bottom style="thin">
          <color indexed="64"/>
        </bottom>
      </border>
    </dxf>
  </rfmt>
  <rcc rId="2433" sId="4">
    <oc r="C12">
      <f>-('Oversikt Variabler'!$B$7*23*'Oversikt Variabler'!$B$47*4*'Oversikt Variabler'!B3)</f>
    </oc>
    <nc r="C12">
      <f>-('Oversikt Variabler'!B4*'Oversikt Variabler'!B7*'Oversikt Variabler'!B47*4)</f>
    </nc>
  </rcc>
  <rcc rId="2434" sId="4">
    <oc r="D12">
      <f>-(('Oversikt Variabler'!$B$51*10)*'Oversikt Variabler'!#REF!*'Oversikt Variabler'!$B$3)</f>
    </oc>
    <nc r="D12">
      <f>-('Oversikt Variabler'!B4*'Oversikt Variabler'!B17*'Oversikt Variabler'!B51*10)</f>
    </nc>
  </rcc>
  <rcc rId="2435" sId="4">
    <oc r="E12">
      <f>-(((('Oversikt Variabler'!$B$7*8)*(('Oversikt Variabler'!$B$54*6)+('Oversikt Variabler'!$B$56*6)+'Oversikt Variabler'!$B$58))+(('Oversikt Variabler'!$B$7*15)*(('Oversikt Variabler'!$B$55*6)+('Oversikt Variabler'!$B$57*6)+'Oversikt Variabler'!$B$59)))*'Oversikt Variabler'!$B$3)</f>
    </oc>
    <nc r="E12">
      <f>-'Oversikt Variabler'!B4*(('Oversikt Variabler'!B10*6*'Oversikt Variabler'!B54)+('Oversikt Variabler'!B10*6*'Oversikt Variabler'!B56)+('Oversikt Variabler'!B11*6*'Oversikt Variabler'!B57)+('Oversikt Variabler'!B11*6*'Oversikt Variabler'!B55)+('Oversikt Variabler'!B12*'Oversikt Variabler'!B58)+('Oversikt Variabler'!B13*'Oversikt Variabler'!B59))</f>
    </nc>
  </rcc>
  <rcc rId="2436" sId="4">
    <oc r="F12">
      <f>-(('Oversikt Variabler'!$B$7*'Oversikt Variabler'!$B$66*'Oversikt Variabler'!$B$3)*21)</f>
    </oc>
    <nc r="F12">
      <f>-('Oversikt Variabler'!B4*'Oversikt Variabler'!B14*'Oversikt Variabler'!B66)</f>
    </nc>
  </rcc>
  <rcc rId="2437" sId="4">
    <oc r="G12">
      <f>-((('Oversikt Variabler'!#REF!*'Oversikt Variabler'!$B$71*16)+('Oversikt Variabler'!#REF!*'Oversikt Variabler'!$B$72*21))*'Oversikt Variabler'!$B$3)</f>
    </oc>
    <nc r="G12">
      <f>-('Oversikt Variabler'!B4*('Oversikt Variabler'!B15*'Oversikt Variabler'!B71+'Oversikt Variabler'!B16*'Oversikt Variabler'!B72))</f>
    </nc>
  </rcc>
  <rcc rId="2438" sId="4">
    <oc r="B47">
      <f>(('Oversikt Variabler'!$B$7*28*'Oversikt Variabler'!$B$4)*('Oversikt Variabler'!B42*4)+('Oversikt Variabler'!B43*'Oversikt Variabler'!$B$7*28*'Oversikt Variabler'!$B$4))</f>
    </oc>
    <nc r="B47">
      <f>-B12</f>
    </nc>
  </rcc>
  <rcc rId="2439" sId="4">
    <oc r="C47">
      <f>('Oversikt Variabler'!$B$7*23*'Oversikt Variabler'!$B$47*4*'Oversikt Variabler'!B4)</f>
    </oc>
    <nc r="C47">
      <f>-C12</f>
    </nc>
  </rcc>
  <rcc rId="2440" sId="4">
    <oc r="D47">
      <f>(('Oversikt Variabler'!$B$51*10)*'Oversikt Variabler'!#REF!*'Oversikt Variabler'!$B$4)</f>
    </oc>
    <nc r="D47">
      <f>-D12</f>
    </nc>
  </rcc>
  <rcc rId="2441" sId="4">
    <oc r="E47">
      <f>(((('Oversikt Variabler'!$B$7*8)*(('Oversikt Variabler'!$B$54*6)+('Oversikt Variabler'!$B$56*6)+'Oversikt Variabler'!$B$58))+(('Oversikt Variabler'!$B$7*15)*(('Oversikt Variabler'!$B$55*6)+('Oversikt Variabler'!$B$57*6)+'Oversikt Variabler'!$B$59)))*'Oversikt Variabler'!$B$4)</f>
    </oc>
    <nc r="E47">
      <f>-E12</f>
    </nc>
  </rcc>
  <rcc rId="2442" sId="4">
    <oc r="F47">
      <f>(('Oversikt Variabler'!$B$7*'Oversikt Variabler'!$B$66*'Oversikt Variabler'!$B$4)*21)</f>
    </oc>
    <nc r="F47">
      <f>-F12</f>
    </nc>
  </rcc>
  <rcc rId="2443" sId="4">
    <oc r="G47">
      <f>((('Oversikt Variabler'!#REF!*'Oversikt Variabler'!$B$71*16)+('Oversikt Variabler'!#REF!*'Oversikt Variabler'!$B$72*21))*'Oversikt Variabler'!$B$3)</f>
    </oc>
    <nc r="G47">
      <f>-G12</f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44" sId="10" numFmtId="4">
    <oc r="D7">
      <v>70000</v>
    </oc>
    <nc r="D7">
      <v>60000</v>
    </nc>
  </rcc>
  <rcc rId="2445" sId="10" numFmtId="4">
    <oc r="E7">
      <v>70000</v>
    </oc>
    <nc r="E7">
      <v>60000</v>
    </nc>
  </rcc>
  <rcc rId="2446" sId="10" odxf="1" dxf="1">
    <oc r="I7" t="inlineStr">
      <is>
        <t xml:space="preserve">Brukes for å subsidere deltakeravgift. </t>
      </is>
    </oc>
    <nc r="I7" t="inlineStr">
      <is>
        <t>Brukes for å subsidere deltakeravgift. Færre leirer i 2020.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447" sId="10">
    <oc r="I8" t="inlineStr">
      <is>
        <t>CISV Norge støtter EVSerne med egenandel utover det som vi får dekket av aktiv ungdom.</t>
      </is>
    </oc>
    <nc r="I8"/>
  </rcc>
  <rcc rId="2448" sId="10">
    <oc r="A8" t="inlineStr">
      <is>
        <t>EVS 1</t>
      </is>
    </oc>
    <nc r="A8"/>
  </rcc>
  <rcc rId="2449" sId="10">
    <oc r="B8" t="inlineStr">
      <is>
        <t>Aktiv Ungdom</t>
      </is>
    </oc>
    <nc r="B8"/>
  </rcc>
  <rcc rId="2450" sId="10">
    <oc r="C8" t="inlineStr">
      <is>
        <t>Vår 2019</t>
      </is>
    </oc>
    <nc r="C8"/>
  </rcc>
  <rcc rId="2451" sId="10" numFmtId="4">
    <oc r="D8">
      <v>72000</v>
    </oc>
    <nc r="D8"/>
  </rcc>
  <rcc rId="2452" sId="10" numFmtId="4">
    <oc r="E8">
      <v>72000</v>
    </oc>
    <nc r="E8"/>
  </rcc>
  <rcc rId="2453" sId="10" numFmtId="4">
    <oc r="F8">
      <v>72000</v>
    </oc>
    <nc r="F8"/>
  </rcc>
  <rcc rId="2454" sId="10">
    <oc r="H8">
      <f>105000-F8</f>
    </oc>
    <nc r="H8"/>
  </rcc>
  <rcc rId="2455" sId="10">
    <oc r="A9" t="inlineStr">
      <is>
        <t>EVS 2</t>
      </is>
    </oc>
    <nc r="A9"/>
  </rcc>
  <rcc rId="2456" sId="10">
    <oc r="B9" t="inlineStr">
      <is>
        <t>Aktiv Ungdom</t>
      </is>
    </oc>
    <nc r="B9"/>
  </rcc>
  <rcc rId="2457" sId="10">
    <oc r="C9" t="inlineStr">
      <is>
        <t>Høst 2019</t>
      </is>
    </oc>
    <nc r="C9"/>
  </rcc>
  <rcc rId="2458" sId="10">
    <oc r="A5" t="inlineStr">
      <is>
        <t>Utveksling med CISV Colombia - Mangfold</t>
      </is>
    </oc>
    <nc r="A5"/>
  </rcc>
  <rcc rId="2459" sId="10">
    <oc r="I13" t="inlineStr">
      <is>
        <t>Dette er for å vise at det er egenandel for EVS. De ligger som utgift på Sentralt-fanen</t>
      </is>
    </oc>
    <nc r="I13"/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4" cell="C32" guid="{00000000-0000-0000-0000-000000000000}" action="delete" author=""/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62" sId="5" numFmtId="4">
    <oc r="B10">
      <f>'Oversikt Variabler'!#REF!*'Oversikt Variabler'!$B$3*1.25</f>
    </oc>
    <nc r="B10">
      <v>0</v>
    </nc>
  </rcc>
  <rcc rId="2463" sId="5" numFmtId="4">
    <oc r="C10">
      <f>'Oversikt Variabler'!#REF!*'Oversikt Variabler'!$B$3*1.25</f>
    </oc>
    <nc r="C10">
      <v>0</v>
    </nc>
  </rcc>
  <rcc rId="2464" sId="5" numFmtId="4">
    <oc r="D10">
      <f>'Oversikt Variabler'!#REF!*'Oversikt Variabler'!$B$3*1.25</f>
    </oc>
    <nc r="D10">
      <v>0</v>
    </nc>
  </rcc>
  <rcc rId="2465" sId="5" numFmtId="4">
    <oc r="E10">
      <f>'Oversikt Variabler'!#REF!*'Oversikt Variabler'!$B$3*1.25</f>
    </oc>
    <nc r="E10">
      <v>0</v>
    </nc>
  </rcc>
  <rcc rId="2466" sId="5" numFmtId="4">
    <oc r="F10">
      <f>'Oversikt Variabler'!#REF!*'Oversikt Variabler'!$B$3*1.25</f>
    </oc>
    <nc r="F10">
      <v>0</v>
    </nc>
  </rcc>
  <rcc rId="2467" sId="5" numFmtId="4">
    <oc r="B24">
      <f>'Oversikt Variabler'!#REF!*'Oversikt Variabler'!$B$3*1.25</f>
    </oc>
    <nc r="B24">
      <v>0</v>
    </nc>
  </rcc>
  <rcc rId="2468" sId="5" numFmtId="4">
    <oc r="C24">
      <f>'Oversikt Variabler'!#REF!*'Oversikt Variabler'!$B$3*1.25</f>
    </oc>
    <nc r="C24">
      <v>0</v>
    </nc>
  </rcc>
  <rcc rId="2469" sId="5" numFmtId="4">
    <oc r="D24">
      <f>'Oversikt Variabler'!#REF!*'Oversikt Variabler'!$B$3*1.25</f>
    </oc>
    <nc r="D24">
      <v>0</v>
    </nc>
  </rcc>
  <rcc rId="2470" sId="5" numFmtId="4">
    <oc r="E24">
      <f>'Oversikt Variabler'!#REF!*'Oversikt Variabler'!$B$3*1.25</f>
    </oc>
    <nc r="E24">
      <v>0</v>
    </nc>
  </rcc>
  <rcc rId="2471" sId="5" numFmtId="4">
    <oc r="B39">
      <f>'Oversikt Variabler'!#REF!*'Oversikt Variabler'!B3*1.25</f>
    </oc>
    <nc r="B39">
      <v>0</v>
    </nc>
  </rcc>
  <rcc rId="2472" sId="5" numFmtId="4">
    <oc r="B52">
      <f>'Oversikt Variabler'!#REF!*'Oversikt Variabler'!$B$3*(1+1/6)</f>
    </oc>
    <nc r="B52">
      <v>0</v>
    </nc>
  </rcc>
  <rcc rId="2473" sId="5" numFmtId="4">
    <oc r="C52">
      <f>'Oversikt Variabler'!#REF!*'Oversikt Variabler'!$B$3*(1+1/6)</f>
    </oc>
    <nc r="C52">
      <v>0</v>
    </nc>
  </rcc>
  <rcc rId="2474" sId="5" numFmtId="4">
    <oc r="D52">
      <f>'Oversikt Variabler'!#REF!*'Oversikt Variabler'!$B$3*(1+1/6)</f>
    </oc>
    <nc r="D52">
      <v>0</v>
    </nc>
  </rcc>
  <rcc rId="2475" sId="5" numFmtId="4">
    <oc r="E52">
      <f>'Oversikt Variabler'!#REF!*'Oversikt Variabler'!$B$3*(1+1/6)</f>
    </oc>
    <nc r="E52">
      <v>0</v>
    </nc>
  </rcc>
  <rcc rId="2476" sId="5" numFmtId="4">
    <oc r="F52">
      <f>'Oversikt Variabler'!#REF!*'Oversikt Variabler'!$B$3</f>
    </oc>
    <nc r="F52">
      <v>0</v>
    </nc>
  </rcc>
  <rcc rId="2477" sId="5" numFmtId="4">
    <oc r="G52">
      <f>'Oversikt Variabler'!#REF!*'Oversikt Variabler'!$B$3</f>
    </oc>
    <nc r="G52">
      <v>0</v>
    </nc>
  </rcc>
  <rcc rId="2478" sId="5" numFmtId="4">
    <oc r="B64">
      <f>'Oversikt Variabler'!#REF!*'Oversikt Variabler'!B3</f>
    </oc>
    <nc r="B64">
      <v>0</v>
    </nc>
  </rcc>
  <rcc rId="2479" sId="5" numFmtId="4">
    <oc r="B75">
      <f>'Oversikt Variabler'!#REF!*'Oversikt Variabler'!B3</f>
    </oc>
    <nc r="B75">
      <v>0</v>
    </nc>
  </rcc>
  <rcc rId="2480" sId="5" numFmtId="4">
    <oc r="C75">
      <f>'Oversikt Variabler'!#REF!*'Oversikt Variabler'!B3</f>
    </oc>
    <nc r="C75">
      <v>0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81" sId="3">
    <oc r="B65">
      <f>(35906*1.035)*11</f>
    </oc>
    <nc r="B65">
      <f>37521.51*1.04*11</f>
    </nc>
  </rcc>
  <rcc rId="2482" sId="3">
    <oc r="B67">
      <f>(B65*0.02)+(B81*0.02)</f>
    </oc>
    <nc r="B67">
      <f>(B65*0.05)+(B81*0.05)</f>
    </nc>
  </rcc>
  <rcc rId="2483" sId="3" numFmtId="4">
    <oc r="B72">
      <v>25000</v>
    </oc>
    <nc r="B72">
      <v>20000</v>
    </nc>
  </rcc>
  <rcc rId="2484" sId="3" numFmtId="4">
    <oc r="B73">
      <v>15000</v>
    </oc>
    <nc r="B73">
      <v>10000</v>
    </nc>
  </rcc>
  <rcc rId="2485" sId="3" odxf="1" dxf="1" numFmtId="4">
    <nc r="B74">
      <v>2000</v>
    </nc>
    <ndxf>
      <fill>
        <patternFill>
          <bgColor rgb="FF92D050"/>
        </patternFill>
      </fill>
    </ndxf>
  </rcc>
  <rfmt sheetId="3" sqref="B76">
    <dxf>
      <fill>
        <patternFill>
          <bgColor rgb="FFFFFF00"/>
        </patternFill>
      </fill>
    </dxf>
  </rfmt>
  <rfmt sheetId="3" sqref="B76">
    <dxf>
      <fill>
        <patternFill>
          <bgColor rgb="FF92D050"/>
        </patternFill>
      </fill>
    </dxf>
  </rfmt>
  <rcc rId="2486" sId="3" numFmtId="4">
    <oc r="B77">
      <v>0</v>
    </oc>
    <nc r="B77">
      <v>50000</v>
    </nc>
  </rcc>
  <rrc rId="2487" sId="3" ref="A78:XFD78" action="deleteRow">
    <undo index="65535" exp="ref" ref3D="1" v="1" dr="B78" r="F53" sId="2"/>
    <rfmt sheetId="3" xfDxf="1" sqref="A78:XFD78" start="0" length="0"/>
    <rcc rId="0" sId="3" dxf="1">
      <nc r="A78" t="inlineStr">
        <is>
          <t>Kopiering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cc rId="0" sId="3" dxf="1" numFmtId="4">
      <nc r="B78">
        <v>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3" sqref="C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fmt sheetId="3" sqref="B77">
    <dxf>
      <fill>
        <patternFill>
          <bgColor rgb="FF92D050"/>
        </patternFill>
      </fill>
    </dxf>
  </rfmt>
  <rcc rId="2488" sId="3" numFmtId="4">
    <oc r="B78">
      <v>40000</v>
    </oc>
    <nc r="B78">
      <v>45000</v>
    </nc>
  </rcc>
  <rcc rId="2489" sId="3" numFmtId="4">
    <oc r="B79">
      <v>4000</v>
    </oc>
    <nc r="B79">
      <v>10000</v>
    </nc>
  </rcc>
  <rcc rId="2490" sId="3">
    <oc r="B80">
      <f>B65*(5/11)</f>
    </oc>
    <nc r="B80">
      <f>34166.67*1.04*11+20000</f>
    </nc>
  </rcc>
  <rcmt sheetId="3" cell="B80" guid="{00000000-0000-0000-0000-000000000000}" action="delete" author="Berge, Knut Audun Monen"/>
  <rcc rId="2491" sId="3">
    <oc r="B82">
      <f>10000+12000</f>
    </oc>
    <nc r="B82">
      <f>30000</f>
    </nc>
  </rcc>
  <rfmt sheetId="3" sqref="B83:B84">
    <dxf>
      <fill>
        <patternFill>
          <bgColor rgb="FF92D050"/>
        </patternFill>
      </fill>
    </dxf>
  </rfmt>
  <rcc rId="2492" sId="3">
    <oc r="B86">
      <f>'Oversikt Variabler'!B19*21*'Oversikt Variabler'!B4</f>
    </oc>
    <nc r="B86">
      <f>'Oversikt Variabler'!B19*20*'Oversikt Variabler'!B4</f>
    </nc>
  </rcc>
  <rrc rId="2493" sId="3" ref="A48:XFD48" action="insertRow"/>
  <rrc rId="2494" sId="3" ref="A48:XFD48" action="insertRow"/>
  <rrc rId="2495" sId="3" ref="A48:XFD48" action="insertRow"/>
  <rcc rId="2496" sId="3">
    <oc r="B6">
      <f>'Oversikt Variabler'!B19*'Oversikt Variabler'!B3*21</f>
    </oc>
    <nc r="B6">
      <f>'Oversikt Variabler'!B19*'Oversikt Variabler'!B3*20</f>
    </nc>
  </rcc>
  <rm rId="2497" sheetId="3" source="C88:E89" destination="C86:E87" sourceSheetId="3">
    <rfmt sheetId="3" sqref="C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m>
  <rm rId="2498" sheetId="3" source="A88:B89" destination="A48:B49" sourceSheetId="3">
    <rfmt sheetId="3" sqref="A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dxf>
    </rfmt>
    <rfmt sheetId="3" sqref="B48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3" sqref="A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dxf>
    </rfmt>
    <rfmt sheetId="3" sqref="B4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</rm>
  <rm rId="2499" sheetId="3" source="C86:E87" destination="C48:E49" sourceSheetId="3">
    <rfmt sheetId="3" sqref="C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m>
  <rfmt sheetId="3" xfDxf="1" sqref="A50" start="0" length="0">
    <dxf>
      <font>
        <sz val="11"/>
        <name val="Calibri"/>
        <family val="2"/>
      </font>
      <fill>
        <patternFill patternType="solid">
          <fgColor rgb="FFFFFFFF"/>
          <bgColor rgb="FFFFFFFF"/>
        </patternFill>
      </fill>
      <border outline="0">
        <left style="thin">
          <color rgb="FF000000"/>
        </left>
      </border>
    </dxf>
  </rfmt>
  <rm rId="2500" sheetId="3" source="B56" destination="B50" sourceSheetId="3">
    <rfmt sheetId="3" sqref="B50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</rm>
  <rrc rId="2501" sId="3" ref="A56:XFD56" action="deleteRow">
    <rfmt sheetId="3" xfDxf="1" sqref="A56:XFD56" start="0" length="0"/>
    <rcc rId="0" sId="3" dxf="1">
      <nc r="A56" t="inlineStr">
        <is>
          <t>Internasjonale avgifter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rgb="FF000000"/>
          </left>
        </border>
      </ndxf>
    </rcc>
    <rfmt sheetId="3" sqref="C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cc rId="0" sId="3" dxf="1">
      <nc r="D56" t="inlineStr">
        <is>
          <t xml:space="preserve"> .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ndxf>
    </rcc>
    <rfmt sheetId="3" sqref="E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cc rId="2502" sId="3">
    <nc r="A50" t="inlineStr">
      <is>
        <t>Chapter fee + NA membership fee</t>
      </is>
    </nc>
  </rcc>
  <rfmt sheetId="3" sqref="B50">
    <dxf>
      <fill>
        <patternFill>
          <bgColor rgb="FF92D050"/>
        </patternFill>
      </fill>
    </dxf>
  </rfmt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A52" start="0" length="0">
    <dxf>
      <border outline="0">
        <left style="thin">
          <color rgb="FF000000"/>
        </left>
      </border>
    </dxf>
  </rfmt>
  <rfmt sheetId="3" sqref="A53" start="0" length="0">
    <dxf>
      <border outline="0">
        <left style="thin">
          <color rgb="FF000000"/>
        </left>
        <right/>
        <top/>
      </border>
    </dxf>
  </rfmt>
  <rfmt sheetId="3" sqref="A54" start="0" length="0">
    <dxf>
      <border outline="0">
        <left style="thin">
          <color rgb="FF000000"/>
        </left>
        <right/>
        <bottom/>
      </border>
    </dxf>
  </rfmt>
  <rfmt sheetId="3" sqref="A43:A61" start="0" length="0">
    <dxf>
      <border>
        <left style="thin">
          <color indexed="64"/>
        </left>
      </border>
    </dxf>
  </rfmt>
  <rfmt sheetId="3" sqref="A43" start="0" length="0">
    <dxf>
      <border>
        <top style="thin">
          <color indexed="64"/>
        </top>
      </border>
    </dxf>
  </rfmt>
  <rfmt sheetId="3" sqref="A43:A61" start="0" length="0">
    <dxf>
      <border>
        <right style="thin">
          <color indexed="64"/>
        </right>
      </border>
    </dxf>
  </rfmt>
  <rfmt sheetId="3" sqref="A61" start="0" length="0">
    <dxf>
      <border>
        <bottom style="thin">
          <color indexed="64"/>
        </bottom>
      </border>
    </dxf>
  </rfmt>
  <rm rId="2505" sheetId="3" source="C48:E49" destination="C50:E51" sourceSheetId="3">
    <rfmt sheetId="3" sqref="C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C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m>
  <rcc rId="2506" sId="3" xfDxf="1" dxf="1">
    <nc r="C49" t="inlineStr">
      <is>
        <t>Satser finnes i dokument C-10</t>
      </is>
    </nc>
  </rcc>
  <rfmt sheetId="3" sqref="C50:E51">
    <dxf>
      <alignment wrapText="0"/>
    </dxf>
  </rfmt>
  <rfmt sheetId="3" sqref="C50" start="0" length="0">
    <dxf>
      <font>
        <i val="0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/>
      <border outline="0">
        <left/>
        <top/>
      </border>
    </dxf>
  </rfmt>
  <rfmt sheetId="3" sqref="D50" start="0" length="0">
    <dxf>
      <font>
        <sz val="10"/>
        <color rgb="FF000000"/>
        <name val="Arial"/>
        <family val="2"/>
        <scheme val="none"/>
      </font>
      <alignment/>
      <border outline="0">
        <top/>
      </border>
    </dxf>
  </rfmt>
  <rfmt sheetId="3" sqref="E50" start="0" length="0">
    <dxf>
      <font>
        <sz val="10"/>
        <color rgb="FF000000"/>
        <name val="Arial"/>
        <family val="2"/>
        <scheme val="none"/>
      </font>
      <alignment/>
      <border outline="0">
        <right/>
        <top/>
      </border>
    </dxf>
  </rfmt>
  <rfmt sheetId="3" sqref="C51" start="0" length="0">
    <dxf>
      <font>
        <sz val="10"/>
        <color rgb="FF000000"/>
        <name val="Arial"/>
        <family val="2"/>
        <scheme val="none"/>
      </font>
      <alignment/>
      <border outline="0">
        <left/>
        <bottom/>
      </border>
    </dxf>
  </rfmt>
  <rfmt sheetId="3" sqref="D51" start="0" length="0">
    <dxf>
      <font>
        <sz val="10"/>
        <color rgb="FF000000"/>
        <name val="Arial"/>
        <family val="2"/>
        <scheme val="none"/>
      </font>
      <alignment/>
      <border outline="0">
        <bottom/>
      </border>
    </dxf>
  </rfmt>
  <rfmt sheetId="3" sqref="E51" start="0" length="0">
    <dxf>
      <font>
        <sz val="10"/>
        <color rgb="FF000000"/>
        <name val="Arial"/>
        <family val="2"/>
        <scheme val="none"/>
      </font>
      <alignment/>
      <border outline="0">
        <right/>
        <bottom/>
      </border>
    </dxf>
  </rfmt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09" sId="8" numFmtId="4">
    <oc r="B29">
      <v>1500</v>
    </oc>
    <nc r="B29">
      <v>1300</v>
    </nc>
  </rcc>
  <rcc rId="2510" sId="8" numFmtId="4">
    <oc r="B28">
      <v>840</v>
    </oc>
    <nc r="B28">
      <v>700</v>
    </nc>
  </rcc>
  <rcc rId="2511" sId="5">
    <oc r="B8">
      <f>'Oversikt Variabler'!$B$7*28*'Oversikt Variabler'!$B$3</f>
    </oc>
    <nc r="B8">
      <f>'Oversikt Variabler'!$B$7*'Oversikt Variabler'!$B$3</f>
    </nc>
  </rcc>
  <rcc rId="2512" sId="5">
    <oc r="C8">
      <f>'Oversikt Variabler'!$B$7*28*'Oversikt Variabler'!$B$3</f>
    </oc>
    <nc r="C8">
      <f>'Oversikt Variabler'!$B$7*'Oversikt Variabler'!$B$3</f>
    </nc>
  </rcc>
  <rcc rId="2513" sId="5">
    <oc r="D8">
      <f>'Oversikt Variabler'!$B$7*28*'Oversikt Variabler'!$B$3</f>
    </oc>
    <nc r="D8">
      <f>'Oversikt Variabler'!$B$7*'Oversikt Variabler'!$B$3</f>
    </nc>
  </rcc>
  <rcc rId="2514" sId="5">
    <oc r="E8">
      <f>'Oversikt Variabler'!$B$7*28*'Oversikt Variabler'!$B$3</f>
    </oc>
    <nc r="E8">
      <f>'Oversikt Variabler'!$B$7*'Oversikt Variabler'!$B$3</f>
    </nc>
  </rcc>
  <rcc rId="2515" sId="5">
    <oc r="F8">
      <f>'Oversikt Variabler'!$B$7*28*'Oversikt Variabler'!$B$3</f>
    </oc>
    <nc r="F8">
      <f>'Oversikt Variabler'!$B$7*'Oversikt Variabler'!$B$3</f>
    </nc>
  </rcc>
  <rfmt sheetId="5" sqref="L2" start="0" length="0">
    <dxf>
      <font>
        <b val="0"/>
        <sz val="14"/>
        <color auto="1"/>
        <name val="Calibri"/>
        <family val="2"/>
      </font>
      <fill>
        <patternFill patternType="none">
          <fgColor indexed="64"/>
          <bgColor indexed="65"/>
        </patternFill>
      </fill>
      <alignment horizontal="general" vertical="top" wrapText="0"/>
    </dxf>
  </rfmt>
  <rfmt sheetId="5" sqref="L28" start="0" length="0">
    <dxf/>
  </rfmt>
  <rfmt sheetId="5" sqref="N28" start="0" length="0">
    <dxf/>
  </rfmt>
  <rfmt sheetId="5" sqref="M33" start="0" length="0">
    <dxf/>
  </rfmt>
  <rfmt sheetId="5" sqref="M34" start="0" length="0">
    <dxf/>
  </rfmt>
  <rcc rId="2516" sId="5" numFmtId="4">
    <oc r="M4">
      <f>N4*4</f>
    </oc>
    <nc r="M4">
      <v>24000</v>
    </nc>
  </rcc>
  <rcc rId="2517" sId="5" numFmtId="4">
    <oc r="N4">
      <f>B13</f>
    </oc>
    <nc r="N4">
      <v>6000</v>
    </nc>
  </rcc>
  <rcc rId="2518" sId="5" numFmtId="4">
    <oc r="M5">
      <f>N5*4</f>
    </oc>
    <nc r="M5">
      <v>23200</v>
    </nc>
  </rcc>
  <rcc rId="2519" sId="5" numFmtId="4">
    <oc r="N5">
      <f>C13</f>
    </oc>
    <nc r="N5">
      <v>5800</v>
    </nc>
  </rcc>
  <rcc rId="2520" sId="5" numFmtId="4">
    <oc r="M6">
      <f>N6*4</f>
    </oc>
    <nc r="M6">
      <v>22000</v>
    </nc>
  </rcc>
  <rcc rId="2521" sId="5" numFmtId="4">
    <oc r="N6">
      <f>D13</f>
    </oc>
    <nc r="N6">
      <v>5500</v>
    </nc>
  </rcc>
  <rcc rId="2522" sId="5" numFmtId="4">
    <oc r="M7">
      <f>N7*4</f>
    </oc>
    <nc r="M7">
      <v>22000</v>
    </nc>
  </rcc>
  <rcc rId="2523" sId="5" numFmtId="4">
    <oc r="N7">
      <f>E13</f>
    </oc>
    <nc r="N7">
      <v>5500</v>
    </nc>
  </rcc>
  <rcc rId="2524" sId="5" numFmtId="4">
    <oc r="N8">
      <f>F13</f>
    </oc>
    <nc r="N8">
      <v>6200</v>
    </nc>
  </rcc>
  <rcc rId="2525" sId="5" numFmtId="4">
    <oc r="M13">
      <f>N13*4</f>
    </oc>
    <nc r="M13">
      <v>28400</v>
    </nc>
  </rcc>
  <rcc rId="2526" sId="5" numFmtId="4">
    <oc r="N13">
      <f>B28</f>
    </oc>
    <nc r="N13">
      <v>7100</v>
    </nc>
  </rcc>
  <rcc rId="2527" sId="5" numFmtId="4">
    <oc r="M14">
      <f>N14*4</f>
    </oc>
    <nc r="M14">
      <v>27200</v>
    </nc>
  </rcc>
  <rcc rId="2528" sId="5" numFmtId="4">
    <oc r="N14">
      <f>C28</f>
    </oc>
    <nc r="N14">
      <v>6800</v>
    </nc>
  </rcc>
  <rcc rId="2529" sId="5" numFmtId="4">
    <oc r="M15">
      <f>N15*4</f>
    </oc>
    <nc r="M15">
      <v>26000</v>
    </nc>
  </rcc>
  <rcc rId="2530" sId="5" numFmtId="4">
    <oc r="N15">
      <f>D28</f>
    </oc>
    <nc r="N15">
      <v>6500</v>
    </nc>
  </rcc>
  <rcc rId="2531" sId="5" numFmtId="4">
    <oc r="M16">
      <f>N16*4</f>
    </oc>
    <nc r="M16">
      <v>26000</v>
    </nc>
  </rcc>
  <rcc rId="2532" sId="5" numFmtId="4">
    <oc r="N16">
      <f>E28</f>
    </oc>
    <nc r="N16">
      <v>6500</v>
    </nc>
  </rcc>
  <rcc rId="2533" sId="5" numFmtId="4">
    <oc r="M19">
      <f>N19*10</f>
    </oc>
    <nc r="M19">
      <v>37000</v>
    </nc>
  </rcc>
  <rcc rId="2534" sId="5" numFmtId="4">
    <oc r="N19">
      <f>B42</f>
    </oc>
    <nc r="N19">
      <v>3700</v>
    </nc>
  </rcc>
  <rcc rId="2535" sId="5" numFmtId="4">
    <oc r="M22">
      <f>N22*6</f>
    </oc>
    <nc r="M22">
      <v>16800</v>
    </nc>
  </rcc>
  <rcc rId="2536" sId="5" numFmtId="4">
    <oc r="N22">
      <f>B55</f>
    </oc>
    <nc r="N22">
      <v>2800</v>
    </nc>
  </rcc>
  <rcc rId="2537" sId="5" numFmtId="4">
    <oc r="M23">
      <f>N23*6</f>
    </oc>
    <nc r="M23">
      <v>22800</v>
    </nc>
  </rcc>
  <rcc rId="2538" sId="5" numFmtId="4">
    <oc r="N23">
      <f>D55</f>
    </oc>
    <nc r="N23">
      <v>3800</v>
    </nc>
  </rcc>
  <rcc rId="2539" sId="5" numFmtId="4">
    <oc r="M24">
      <f>N24*6</f>
    </oc>
    <nc r="M24">
      <v>21600</v>
    </nc>
  </rcc>
  <rcc rId="2540" sId="5" numFmtId="4">
    <oc r="N24">
      <f>C55</f>
    </oc>
    <nc r="N24">
      <v>3600</v>
    </nc>
  </rcc>
  <rcc rId="2541" sId="5" numFmtId="4">
    <oc r="M25">
      <f>N25*6</f>
    </oc>
    <nc r="M25">
      <v>27000</v>
    </nc>
  </rcc>
  <rcc rId="2542" sId="5" numFmtId="4">
    <oc r="N25">
      <f>E55</f>
    </oc>
    <nc r="N25">
      <v>4500</v>
    </nc>
  </rcc>
  <rcc rId="2543" sId="5" numFmtId="4">
    <oc r="N26">
      <f>F55</f>
    </oc>
    <nc r="N26">
      <v>3300</v>
    </nc>
  </rcc>
  <rcc rId="2544" sId="5" numFmtId="4">
    <oc r="N27">
      <f>G55</f>
    </oc>
    <nc r="N27">
      <v>4300</v>
    </nc>
  </rcc>
  <rcc rId="2545" sId="5" numFmtId="4">
    <oc r="N31">
      <f>B67</f>
    </oc>
    <nc r="N31">
      <v>7072.9490586206903</v>
    </nc>
  </rcc>
  <rcc rId="2546" sId="5" numFmtId="4">
    <oc r="N34">
      <f>B78</f>
    </oc>
    <nc r="N34">
      <v>3650.4417999999996</v>
    </nc>
  </rcc>
  <rcc rId="2547" sId="5" numFmtId="4">
    <oc r="N35">
      <f>C78</f>
    </oc>
    <nc r="N35">
      <v>4099.6617999999999</v>
    </nc>
  </rcc>
  <rcc rId="2548" sId="5">
    <oc r="H1" t="inlineStr">
      <is>
        <t>Priser 2018</t>
      </is>
    </oc>
    <nc r="H1" t="inlineStr">
      <is>
        <t>Priser 2020</t>
      </is>
    </nc>
  </rcc>
  <rcc rId="2549" sId="5">
    <oc r="I4">
      <v>27599.638499999997</v>
    </oc>
    <nc r="I4">
      <f>B13</f>
    </nc>
  </rcc>
  <rcc rId="2550" sId="5">
    <oc r="I5">
      <v>25999.638499999997</v>
    </oc>
    <nc r="I5">
      <f>C13</f>
    </nc>
  </rcc>
  <rcc rId="2551" sId="5" numFmtId="4">
    <oc r="I6">
      <v>23599.638499999997</v>
    </oc>
    <nc r="I6">
      <f>D13</f>
    </nc>
  </rcc>
  <rcc rId="2552" sId="5" numFmtId="4">
    <oc r="I7">
      <v>19599.638499999997</v>
    </oc>
    <nc r="I7">
      <f>E13</f>
    </nc>
  </rcc>
  <rcc rId="2553" sId="5" numFmtId="4">
    <oc r="J8">
      <v>6800.4096249999993</v>
    </oc>
    <nc r="J8">
      <f>F13</f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54" sId="5" numFmtId="4">
    <oc r="F12">
      <v>-791</v>
    </oc>
    <nc r="F12">
      <v>-831</v>
    </nc>
  </rcc>
  <rcc rId="2555" sId="5">
    <oc r="F13">
      <f>_xlfn.CEILING.MATH(F11+F12,,TRUE)</f>
    </oc>
    <nc r="F13">
      <f>_xlfn.FLOOR.MATH(F11+F12,,TRUE)</f>
    </nc>
  </rcc>
  <rcc rId="2556" sId="8">
    <oc r="A100">
      <v>0</v>
    </oc>
    <nc r="A100" t="inlineStr">
      <is>
        <t>IPP</t>
      </is>
    </nc>
  </rcc>
  <rcc rId="2557" sId="8">
    <oc r="B94">
      <v>110000</v>
    </oc>
    <nc r="B94">
      <v>120000</v>
    </nc>
  </rcc>
  <rm rId="2558" sheetId="5" source="I2" destination="J2" sourceSheetId="5">
    <rfmt sheetId="5" sqref="J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EDEDED"/>
            <bgColor rgb="FFEDEDED"/>
          </patternFill>
        </fill>
        <alignment horizontal="center" wrapText="1"/>
        <border outline="0">
          <right style="thin">
            <color rgb="FF000000"/>
          </right>
        </border>
      </dxf>
    </rfmt>
  </rm>
  <rm rId="2559" sheetId="5" source="J1" destination="I1" sourceSheetId="5">
    <rfmt sheetId="5" sqref="I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EDEDED"/>
            <bgColor rgb="FFEDEDED"/>
          </patternFill>
        </fill>
        <alignment horizontal="center"/>
      </dxf>
    </rfmt>
  </rm>
  <rm rId="2560" sheetId="5" source="J2" destination="J1" sourceSheetId="5"/>
  <rfmt sheetId="5" sqref="I1">
    <dxf>
      <alignment wrapText="0"/>
    </dxf>
  </rfmt>
  <rfmt sheetId="5" sqref="I1">
    <dxf>
      <alignment wrapText="1"/>
    </dxf>
  </rfmt>
  <rcc rId="2561" sId="5">
    <oc r="J4">
      <v>6899.9096249999993</v>
    </oc>
    <nc r="J4">
      <f>I4*4</f>
    </nc>
  </rcc>
  <rcc rId="2562" sId="5">
    <oc r="J5">
      <v>6499.9096249999993</v>
    </oc>
    <nc r="J5">
      <f>I5*4</f>
    </nc>
  </rcc>
  <rcc rId="2563" sId="5">
    <oc r="J6">
      <v>5899.9096249999993</v>
    </oc>
    <nc r="J6">
      <f>I6*4</f>
    </nc>
  </rcc>
  <rcc rId="2564" sId="5">
    <oc r="J7">
      <v>4899.9096249999993</v>
    </oc>
    <nc r="J7">
      <f>I7*4</f>
    </nc>
  </rcc>
  <rcc rId="2565" sId="5">
    <oc r="J8">
      <f>F13</f>
    </oc>
    <nc r="J8"/>
  </rcc>
  <rcc rId="2566" sId="5">
    <nc r="I8">
      <f>F13</f>
    </nc>
  </rcc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9" sId="5">
    <oc r="D12">
      <f>-1006</f>
    </oc>
    <nc r="D12">
      <f>-909</f>
    </nc>
  </rcc>
  <rcc rId="2570" sId="5">
    <oc r="E12">
      <f>-1006</f>
    </oc>
    <nc r="E12">
      <f>-909</f>
    </nc>
  </rcc>
  <rcc rId="2571" sId="5" numFmtId="4">
    <oc r="B12">
      <v>-506</v>
    </oc>
    <nc r="B12">
      <v>-509</v>
    </nc>
  </rcc>
  <rcc rId="2572" sId="5" numFmtId="4">
    <oc r="C12">
      <v>-706</v>
    </oc>
    <nc r="C12">
      <v>-709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3" sId="5">
    <oc r="B22">
      <f>'Oversikt Variabler'!$B$7*23*'Oversikt Variabler'!$B$3</f>
    </oc>
    <nc r="B22">
      <f>'Oversikt Variabler'!$B$8*'Oversikt Variabler'!$B$3</f>
    </nc>
  </rcc>
  <rcc rId="2574" sId="5">
    <oc r="C22">
      <f>'Oversikt Variabler'!$B$7*23*'Oversikt Variabler'!$B$3</f>
    </oc>
    <nc r="C22">
      <f>'Oversikt Variabler'!$B$8*'Oversikt Variabler'!$B$3</f>
    </nc>
  </rcc>
  <rcc rId="2575" sId="5">
    <oc r="D22">
      <f>'Oversikt Variabler'!$B$7*23*'Oversikt Variabler'!$B$3</f>
    </oc>
    <nc r="D22">
      <f>'Oversikt Variabler'!$B$8*'Oversikt Variabler'!$B$3</f>
    </nc>
  </rcc>
  <rcc rId="2576" sId="5">
    <oc r="E22">
      <f>'Oversikt Variabler'!$B$7*23*'Oversikt Variabler'!$B$3</f>
    </oc>
    <nc r="E22">
      <f>'Oversikt Variabler'!$B$8*'Oversikt Variabler'!$B$3</f>
    </nc>
  </rcc>
  <rfmt sheetId="8" sqref="B28:B29">
    <dxf>
      <fill>
        <patternFill patternType="solid">
          <bgColor rgb="FF92D050"/>
        </patternFill>
      </fill>
    </dxf>
  </rfmt>
  <rcc rId="2577" sId="8" numFmtId="4">
    <oc r="B30">
      <v>1050</v>
    </oc>
    <nc r="B30">
      <v>900</v>
    </nc>
  </rcc>
  <rcc rId="2578" sId="8" numFmtId="4">
    <oc r="B31">
      <v>1550</v>
    </oc>
    <nc r="B31">
      <v>1450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38:G128">
    <dxf>
      <fill>
        <patternFill>
          <bgColor theme="0"/>
        </patternFill>
      </fill>
    </dxf>
  </rfmt>
  <rfmt sheetId="8" sqref="B129">
    <dxf>
      <fill>
        <patternFill>
          <bgColor theme="0"/>
        </patternFill>
      </fill>
    </dxf>
  </rfmt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79" sId="5" numFmtId="4">
    <oc r="I13">
      <v>29998.138499999997</v>
    </oc>
    <nc r="I13">
      <f>B28</f>
    </nc>
  </rcc>
  <rcc rId="2580" sId="5" numFmtId="4">
    <oc r="I14">
      <v>27998.138499999997</v>
    </oc>
    <nc r="I14">
      <f>C28</f>
    </nc>
  </rcc>
  <rcc rId="2581" sId="5" numFmtId="4">
    <oc r="I15">
      <v>25998.138499999997</v>
    </oc>
    <nc r="I15">
      <f>D28</f>
    </nc>
  </rcc>
  <rcc rId="2582" sId="5" numFmtId="4">
    <oc r="I16">
      <v>23998.138499999997</v>
    </oc>
    <nc r="I16">
      <f>E28</f>
    </nc>
  </rcc>
  <rcc rId="2583" sId="5" numFmtId="4">
    <oc r="J13">
      <v>7499.5346249999993</v>
    </oc>
    <nc r="J13">
      <f>I13*4</f>
    </nc>
  </rcc>
  <rcc rId="2584" sId="5" numFmtId="4">
    <oc r="J14">
      <v>6999.5346249999993</v>
    </oc>
    <nc r="J14">
      <f>I14*4</f>
    </nc>
  </rcc>
  <rcc rId="2585" sId="5" numFmtId="4">
    <oc r="J15">
      <v>6499.5346249999993</v>
    </oc>
    <nc r="J15">
      <f>I15*4</f>
    </nc>
  </rcc>
  <rcc rId="2586" sId="5" odxf="1" dxf="1" numFmtId="4">
    <oc r="J16">
      <v>5999.5346249999993</v>
    </oc>
    <nc r="J16">
      <f>I16*4</f>
    </nc>
    <odxf>
      <border outline="0">
        <right style="thin">
          <color rgb="FF000000"/>
        </right>
        <bottom style="thin">
          <color rgb="FF000000"/>
        </bottom>
      </border>
    </odxf>
    <ndxf>
      <border outline="0">
        <right/>
        <bottom/>
      </border>
    </ndxf>
  </rcc>
  <rcc rId="2587" sId="5">
    <oc r="B28">
      <f>_xlfn.FLOOR.MATH(B25+B27,,TRUE)</f>
    </oc>
    <nc r="B28">
      <f>_xlfn.CEILING.MATH(B25+B27,,TRUE)</f>
    </nc>
  </rcc>
  <rcc rId="2588" sId="5" numFmtId="4">
    <oc r="C27">
      <v>-705</v>
    </oc>
    <nc r="C27">
      <v>-742</v>
    </nc>
  </rcc>
  <rcc rId="2589" sId="5">
    <oc r="C28">
      <f>_xlfn.FLOOR.MATH(C25+C27,,TRUE)</f>
    </oc>
    <nc r="C28">
      <f>_xlfn.CEILING.MATH(C25+C27,,TRUE)</f>
    </nc>
  </rcc>
  <rcc rId="2590" sId="5" numFmtId="4">
    <oc r="D27">
      <v>-1005</v>
    </oc>
    <nc r="D27">
      <v>-1042</v>
    </nc>
  </rcc>
  <rcc rId="2591" sId="5">
    <oc r="D28">
      <f>_xlfn.FLOOR.MATH(D25+D27,,TRUE)</f>
    </oc>
    <nc r="D28">
      <f>_xlfn.CEILING.MATH(D25+D27,,TRUE)</f>
    </nc>
  </rcc>
  <rcc rId="2592" sId="5" numFmtId="4">
    <oc r="E27">
      <v>-1005</v>
    </oc>
    <nc r="E27">
      <v>-1042</v>
    </nc>
  </rcc>
  <rcc rId="2593" sId="5">
    <oc r="E28">
      <f>_xlfn.FLOOR.MATH(E25+E27,,TRUE)</f>
    </oc>
    <nc r="E28">
      <f>_xlfn.CEILING.MATH(E25+E27,,TRUE)</f>
    </nc>
  </rcc>
  <rcc rId="2594" sId="5" numFmtId="4">
    <oc r="B27">
      <v>-405</v>
    </oc>
    <nc r="B27">
      <v>-442</v>
    </nc>
  </rcc>
  <rcc rId="2595" sId="8" numFmtId="4">
    <oc r="B33">
      <v>400</v>
    </oc>
    <nc r="B33">
      <v>0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96" sId="5">
    <oc r="B37">
      <f>'Oversikt Variabler'!#REF!*'Oversikt Variabler'!$B$3*1.25</f>
    </oc>
    <nc r="B37">
      <f>'Oversikt Variabler'!B17*1.25*'Oversikt Variabler'!B4</f>
    </nc>
  </rcc>
  <rcc rId="2597" sId="5" numFmtId="4">
    <oc r="B41">
      <v>-419</v>
    </oc>
    <nc r="B41">
      <v>-448</v>
    </nc>
  </rcc>
  <rcc rId="2598" sId="5">
    <oc r="B42">
      <f>_xlfn.CEILING.MATH(B40+B41,,FALSE)</f>
    </oc>
    <nc r="B42">
      <f>_xlfn.FLOOR.MATH(B40+B41,,FALSE)</f>
    </nc>
  </rcc>
  <rfmt sheetId="5" sqref="L18:L19" start="0" length="0">
    <dxf>
      <border>
        <left style="thin">
          <color indexed="64"/>
        </left>
      </border>
    </dxf>
  </rfmt>
  <rfmt sheetId="5" sqref="L18:N18" start="0" length="0">
    <dxf>
      <border>
        <top style="thin">
          <color indexed="64"/>
        </top>
      </border>
    </dxf>
  </rfmt>
  <rfmt sheetId="5" sqref="N18:N19" start="0" length="0">
    <dxf>
      <border>
        <right style="thin">
          <color indexed="64"/>
        </right>
      </border>
    </dxf>
  </rfmt>
  <rfmt sheetId="5" sqref="L19:N19" start="0" length="0">
    <dxf>
      <border>
        <bottom style="thin">
          <color indexed="64"/>
        </bottom>
      </border>
    </dxf>
  </rfmt>
  <rcc rId="2599" sId="5" numFmtId="4">
    <oc r="I19">
      <v>37004.158750000002</v>
    </oc>
    <nc r="I19">
      <f>B42</f>
    </nc>
  </rcc>
  <rcc rId="2600" sId="5" numFmtId="4">
    <oc r="J19">
      <v>3700.4158750000001</v>
    </oc>
    <nc r="J19">
      <f>I19*8</f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1" sId="5">
    <oc r="B50">
      <f>'Oversikt Variabler'!B7*'Oversikt Variabler'!B3*8</f>
    </oc>
    <nc r="B50">
      <f>'Oversikt Variabler'!$B$4*'Oversikt Variabler'!B$10</f>
    </nc>
  </rcc>
  <rcc rId="2602" sId="5">
    <oc r="D50">
      <f>'Oversikt Variabler'!$B$7*'Oversikt Variabler'!$B$3*8</f>
    </oc>
    <nc r="D50">
      <f>'Oversikt Variabler'!$B$4*'Oversikt Variabler'!B$10</f>
    </nc>
  </rcc>
  <rcc rId="2603" sId="5">
    <oc r="C50">
      <f>'Oversikt Variabler'!B7*15*'Oversikt Variabler'!B3</f>
    </oc>
    <nc r="C50">
      <f>'Oversikt Variabler'!$B$4*'Oversikt Variabler'!$B$11</f>
    </nc>
  </rcc>
  <rcc rId="2604" sId="5" odxf="1" dxf="1">
    <oc r="E50">
      <f>'Oversikt Variabler'!$B$7*15*'Oversikt Variabler'!$B$3</f>
    </oc>
    <nc r="E50">
      <f>'Oversikt Variabler'!$B$4*'Oversikt Variabler'!$B$11</f>
    </nc>
    <odxf>
      <border outline="0">
        <right/>
      </border>
    </odxf>
    <ndxf>
      <border outline="0">
        <right style="thin">
          <color rgb="FF000000"/>
        </right>
      </border>
    </ndxf>
  </rcc>
  <rfmt sheetId="5" sqref="F50" start="0" length="0">
    <dxf>
      <border outline="0">
        <left style="thin">
          <color rgb="FF000000"/>
        </left>
        <right style="thin">
          <color rgb="FF000000"/>
        </right>
      </border>
    </dxf>
  </rfmt>
  <rcc rId="2605" sId="5">
    <oc r="F50">
      <f>'Oversikt Variabler'!B7*'Oversikt Variabler'!B3*8</f>
    </oc>
    <nc r="F50">
      <f>'Oversikt Variabler'!$B$4*'Oversikt Variabler'!$B$12</f>
    </nc>
  </rcc>
  <rfmt sheetId="5" sqref="G50" start="0" length="0">
    <dxf>
      <border outline="0">
        <left style="thin">
          <color rgb="FF000000"/>
        </left>
        <right style="thin">
          <color rgb="FF000000"/>
        </right>
      </border>
    </dxf>
  </rfmt>
  <rcc rId="2606" sId="5">
    <oc r="G50">
      <f>'Oversikt Variabler'!$B$7*15*'Oversikt Variabler'!$B$3</f>
    </oc>
    <nc r="G50">
      <f>'Oversikt Variabler'!$B$4*'Oversikt Variabler'!$B$13</f>
    </nc>
  </rcc>
  <rfmt sheetId="8" sqref="B30:B31">
    <dxf>
      <fill>
        <patternFill patternType="solid">
          <bgColor rgb="FF92D050"/>
        </patternFill>
      </fill>
    </dxf>
  </rfmt>
  <rfmt sheetId="8" sqref="B32">
    <dxf>
      <fill>
        <patternFill patternType="solid">
          <bgColor rgb="FF92D050"/>
        </patternFill>
      </fill>
    </dxf>
  </rfmt>
  <rfmt sheetId="8" sqref="B33">
    <dxf>
      <fill>
        <patternFill patternType="solid">
          <bgColor rgb="FF92D050"/>
        </patternFill>
      </fill>
    </dxf>
  </rfmt>
  <rcc rId="2607" sId="8" numFmtId="4">
    <oc r="B34">
      <v>600</v>
    </oc>
    <nc r="B34">
      <v>500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08" sId="8" numFmtId="4">
    <oc r="B34">
      <v>500</v>
    </oc>
    <nc r="B34">
      <v>450</v>
    </nc>
  </rcc>
  <rcc rId="2609" sId="8" numFmtId="4">
    <oc r="B35">
      <v>1800</v>
    </oc>
    <nc r="B35">
      <v>1600</v>
    </nc>
  </rcc>
  <rcc rId="2610" sId="8" numFmtId="4">
    <oc r="B36">
      <v>1800</v>
    </oc>
    <nc r="B36">
      <v>1500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11" sId="8" numFmtId="4">
    <oc r="B34">
      <v>450</v>
    </oc>
    <nc r="B34">
      <v>400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2612" sheetId="5" source="M1:M1048576" destination="P1:P1048576" sourceSheetId="5">
    <rfmt sheetId="5" xfDxf="1" sqref="P1:P1048576" start="0" length="0"/>
    <rfmt sheetId="5" sqref="P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5" sqref="P88" start="0" length="0">
      <dxf>
        <font>
          <sz val="11"/>
          <color rgb="FF000000"/>
          <name val="Calibri"/>
          <family val="2"/>
          <scheme val="none"/>
        </font>
      </dxf>
    </rfmt>
    <rfmt sheetId="5" sqref="P89" start="0" length="0">
      <dxf>
        <font>
          <sz val="11"/>
          <color rgb="FF000000"/>
          <name val="Calibri"/>
          <family val="2"/>
          <scheme val="none"/>
        </font>
      </dxf>
    </rfmt>
    <rfmt sheetId="5" sqref="P90" start="0" length="0">
      <dxf>
        <font>
          <sz val="11"/>
          <color rgb="FF000000"/>
          <name val="Calibri"/>
          <family val="2"/>
          <scheme val="none"/>
        </font>
      </dxf>
    </rfmt>
    <rfmt sheetId="5" sqref="P91" start="0" length="0">
      <dxf>
        <font>
          <sz val="11"/>
          <color rgb="FF000000"/>
          <name val="Calibri"/>
          <family val="2"/>
          <scheme val="none"/>
        </font>
      </dxf>
    </rfmt>
    <rfmt sheetId="5" sqref="P92" start="0" length="0">
      <dxf>
        <font>
          <sz val="11"/>
          <color rgb="FF000000"/>
          <name val="Calibri"/>
          <family val="2"/>
          <scheme val="none"/>
        </font>
      </dxf>
    </rfmt>
    <rfmt sheetId="5" sqref="P93" start="0" length="0">
      <dxf>
        <font>
          <sz val="11"/>
          <color rgb="FF000000"/>
          <name val="Calibri"/>
          <family val="2"/>
          <scheme val="none"/>
        </font>
      </dxf>
    </rfmt>
    <rfmt sheetId="5" sqref="P94" start="0" length="0">
      <dxf>
        <font>
          <sz val="11"/>
          <color rgb="FF000000"/>
          <name val="Calibri"/>
          <family val="2"/>
          <scheme val="none"/>
        </font>
      </dxf>
    </rfmt>
    <rfmt sheetId="5" sqref="P95" start="0" length="0">
      <dxf>
        <font>
          <sz val="11"/>
          <color rgb="FF000000"/>
          <name val="Calibri"/>
          <family val="2"/>
          <scheme val="none"/>
        </font>
      </dxf>
    </rfmt>
    <rfmt sheetId="5" sqref="P96" start="0" length="0">
      <dxf>
        <font>
          <sz val="11"/>
          <color rgb="FF000000"/>
          <name val="Calibri"/>
          <family val="2"/>
          <scheme val="none"/>
        </font>
      </dxf>
    </rfmt>
    <rfmt sheetId="5" sqref="P97" start="0" length="0">
      <dxf>
        <font>
          <sz val="11"/>
          <color rgb="FF000000"/>
          <name val="Calibri"/>
          <family val="2"/>
          <scheme val="none"/>
        </font>
      </dxf>
    </rfmt>
    <rfmt sheetId="5" sqref="P98" start="0" length="0">
      <dxf>
        <font>
          <sz val="11"/>
          <color rgb="FF000000"/>
          <name val="Calibri"/>
          <family val="2"/>
          <scheme val="none"/>
        </font>
      </dxf>
    </rfmt>
    <rfmt sheetId="5" sqref="P99" start="0" length="0">
      <dxf>
        <font>
          <sz val="11"/>
          <color rgb="FF000000"/>
          <name val="Calibri"/>
          <family val="2"/>
          <scheme val="none"/>
        </font>
      </dxf>
    </rfmt>
    <rfmt sheetId="5" sqref="P100" start="0" length="0">
      <dxf>
        <font>
          <sz val="11"/>
          <color rgb="FF000000"/>
          <name val="Calibri"/>
          <family val="2"/>
          <scheme val="none"/>
        </font>
      </dxf>
    </rfmt>
    <rfmt sheetId="5" sqref="P101" start="0" length="0">
      <dxf>
        <font>
          <sz val="11"/>
          <color rgb="FF000000"/>
          <name val="Calibri"/>
          <family val="2"/>
          <scheme val="none"/>
        </font>
      </dxf>
    </rfmt>
    <rfmt sheetId="5" sqref="P102" start="0" length="0">
      <dxf>
        <font>
          <sz val="11"/>
          <color rgb="FF000000"/>
          <name val="Calibri"/>
          <family val="2"/>
          <scheme val="none"/>
        </font>
      </dxf>
    </rfmt>
    <rfmt sheetId="5" sqref="P103" start="0" length="0">
      <dxf>
        <font>
          <sz val="11"/>
          <color rgb="FF000000"/>
          <name val="Calibri"/>
          <family val="2"/>
          <scheme val="none"/>
        </font>
      </dxf>
    </rfmt>
    <rfmt sheetId="5" sqref="P104" start="0" length="0">
      <dxf>
        <font>
          <sz val="11"/>
          <color rgb="FF000000"/>
          <name val="Calibri"/>
          <family val="2"/>
          <scheme val="none"/>
        </font>
      </dxf>
    </rfmt>
    <rfmt sheetId="5" sqref="P105" start="0" length="0">
      <dxf>
        <font>
          <sz val="11"/>
          <color rgb="FF000000"/>
          <name val="Calibri"/>
          <family val="2"/>
          <scheme val="none"/>
        </font>
      </dxf>
    </rfmt>
    <rfmt sheetId="5" sqref="P106" start="0" length="0">
      <dxf>
        <font>
          <sz val="11"/>
          <color rgb="FF000000"/>
          <name val="Calibri"/>
          <family val="2"/>
          <scheme val="none"/>
        </font>
      </dxf>
    </rfmt>
    <rfmt sheetId="5" sqref="P107" start="0" length="0">
      <dxf>
        <font>
          <sz val="11"/>
          <color rgb="FF000000"/>
          <name val="Calibri"/>
          <family val="2"/>
          <scheme val="none"/>
        </font>
      </dxf>
    </rfmt>
    <rfmt sheetId="5" sqref="P108" start="0" length="0">
      <dxf>
        <font>
          <sz val="11"/>
          <color rgb="FF000000"/>
          <name val="Calibri"/>
          <family val="2"/>
          <scheme val="none"/>
        </font>
      </dxf>
    </rfmt>
    <rfmt sheetId="5" sqref="P109" start="0" length="0">
      <dxf>
        <font>
          <sz val="11"/>
          <color rgb="FF000000"/>
          <name val="Calibri"/>
          <family val="2"/>
          <scheme val="none"/>
        </font>
      </dxf>
    </rfmt>
    <rfmt sheetId="5" sqref="P110" start="0" length="0">
      <dxf>
        <font>
          <sz val="11"/>
          <color rgb="FF000000"/>
          <name val="Calibri"/>
          <family val="2"/>
          <scheme val="none"/>
        </font>
      </dxf>
    </rfmt>
    <rfmt sheetId="5" sqref="P111" start="0" length="0">
      <dxf>
        <font>
          <sz val="11"/>
          <color rgb="FF000000"/>
          <name val="Calibri"/>
          <family val="2"/>
          <scheme val="none"/>
        </font>
      </dxf>
    </rfmt>
    <rfmt sheetId="5" sqref="P112" start="0" length="0">
      <dxf>
        <font>
          <sz val="11"/>
          <color rgb="FF000000"/>
          <name val="Calibri"/>
          <family val="2"/>
          <scheme val="none"/>
        </font>
      </dxf>
    </rfmt>
    <rfmt sheetId="5" sqref="P113" start="0" length="0">
      <dxf>
        <font>
          <sz val="11"/>
          <color rgb="FF000000"/>
          <name val="Calibri"/>
          <family val="2"/>
          <scheme val="none"/>
        </font>
      </dxf>
    </rfmt>
    <rfmt sheetId="5" sqref="P114" start="0" length="0">
      <dxf>
        <font>
          <sz val="11"/>
          <color rgb="FF000000"/>
          <name val="Calibri"/>
          <family val="2"/>
          <scheme val="none"/>
        </font>
      </dxf>
    </rfmt>
    <rfmt sheetId="5" sqref="P115" start="0" length="0">
      <dxf>
        <font>
          <sz val="11"/>
          <color rgb="FF000000"/>
          <name val="Calibri"/>
          <family val="2"/>
          <scheme val="none"/>
        </font>
      </dxf>
    </rfmt>
    <rfmt sheetId="5" sqref="P116" start="0" length="0">
      <dxf>
        <font>
          <sz val="11"/>
          <color rgb="FF000000"/>
          <name val="Calibri"/>
          <family val="2"/>
          <scheme val="none"/>
        </font>
      </dxf>
    </rfmt>
    <rfmt sheetId="5" sqref="P117" start="0" length="0">
      <dxf>
        <font>
          <sz val="11"/>
          <color rgb="FF000000"/>
          <name val="Calibri"/>
          <family val="2"/>
          <scheme val="none"/>
        </font>
      </dxf>
    </rfmt>
    <rfmt sheetId="5" sqref="P118" start="0" length="0">
      <dxf>
        <font>
          <sz val="11"/>
          <color rgb="FF000000"/>
          <name val="Calibri"/>
          <family val="2"/>
          <scheme val="none"/>
        </font>
      </dxf>
    </rfmt>
    <rfmt sheetId="5" sqref="P119" start="0" length="0">
      <dxf>
        <font>
          <sz val="11"/>
          <color rgb="FF000000"/>
          <name val="Calibri"/>
          <family val="2"/>
          <scheme val="none"/>
        </font>
      </dxf>
    </rfmt>
    <rfmt sheetId="5" sqref="P120" start="0" length="0">
      <dxf>
        <font>
          <sz val="11"/>
          <color rgb="FF000000"/>
          <name val="Calibri"/>
          <family val="2"/>
          <scheme val="none"/>
        </font>
      </dxf>
    </rfmt>
    <rfmt sheetId="5" sqref="P121" start="0" length="0">
      <dxf>
        <font>
          <sz val="11"/>
          <color rgb="FF000000"/>
          <name val="Calibri"/>
          <family val="2"/>
          <scheme val="none"/>
        </font>
      </dxf>
    </rfmt>
    <rfmt sheetId="5" sqref="P122" start="0" length="0">
      <dxf>
        <font>
          <sz val="11"/>
          <color rgb="FF000000"/>
          <name val="Calibri"/>
          <family val="2"/>
          <scheme val="none"/>
        </font>
      </dxf>
    </rfmt>
    <rfmt sheetId="5" sqref="P123" start="0" length="0">
      <dxf>
        <font>
          <sz val="11"/>
          <color rgb="FF000000"/>
          <name val="Calibri"/>
          <family val="2"/>
          <scheme val="none"/>
        </font>
      </dxf>
    </rfmt>
    <rfmt sheetId="5" sqref="P124" start="0" length="0">
      <dxf>
        <font>
          <sz val="11"/>
          <color rgb="FF000000"/>
          <name val="Calibri"/>
          <family val="2"/>
          <scheme val="none"/>
        </font>
      </dxf>
    </rfmt>
    <rfmt sheetId="5" sqref="P125" start="0" length="0">
      <dxf>
        <font>
          <sz val="11"/>
          <color rgb="FF000000"/>
          <name val="Calibri"/>
          <family val="2"/>
          <scheme val="none"/>
        </font>
      </dxf>
    </rfmt>
    <rfmt sheetId="5" sqref="P126" start="0" length="0">
      <dxf>
        <font>
          <sz val="11"/>
          <color rgb="FF000000"/>
          <name val="Calibri"/>
          <family val="2"/>
          <scheme val="none"/>
        </font>
      </dxf>
    </rfmt>
    <rfmt sheetId="5" sqref="P127" start="0" length="0">
      <dxf>
        <font>
          <sz val="11"/>
          <color rgb="FF000000"/>
          <name val="Calibri"/>
          <family val="2"/>
          <scheme val="none"/>
        </font>
      </dxf>
    </rfmt>
    <rfmt sheetId="5" sqref="P128" start="0" length="0">
      <dxf>
        <font>
          <sz val="11"/>
          <color rgb="FF000000"/>
          <name val="Calibri"/>
          <family val="2"/>
          <scheme val="none"/>
        </font>
      </dxf>
    </rfmt>
    <rfmt sheetId="5" sqref="P129" start="0" length="0">
      <dxf>
        <font>
          <sz val="11"/>
          <color rgb="FF000000"/>
          <name val="Calibri"/>
          <family val="2"/>
          <scheme val="none"/>
        </font>
      </dxf>
    </rfmt>
    <rfmt sheetId="5" sqref="P130" start="0" length="0">
      <dxf>
        <font>
          <sz val="11"/>
          <color rgb="FF000000"/>
          <name val="Calibri"/>
          <family val="2"/>
          <scheme val="none"/>
        </font>
      </dxf>
    </rfmt>
    <rfmt sheetId="5" sqref="P131" start="0" length="0">
      <dxf>
        <font>
          <sz val="11"/>
          <color rgb="FF000000"/>
          <name val="Calibri"/>
          <family val="2"/>
          <scheme val="none"/>
        </font>
      </dxf>
    </rfmt>
    <rfmt sheetId="5" sqref="P132" start="0" length="0">
      <dxf>
        <font>
          <sz val="11"/>
          <color rgb="FF000000"/>
          <name val="Calibri"/>
          <family val="2"/>
          <scheme val="none"/>
        </font>
      </dxf>
    </rfmt>
    <rfmt sheetId="5" sqref="P133" start="0" length="0">
      <dxf>
        <font>
          <sz val="11"/>
          <color rgb="FF000000"/>
          <name val="Calibri"/>
          <family val="2"/>
          <scheme val="none"/>
        </font>
      </dxf>
    </rfmt>
    <rfmt sheetId="5" sqref="P134" start="0" length="0">
      <dxf>
        <font>
          <sz val="11"/>
          <color rgb="FF000000"/>
          <name val="Calibri"/>
          <family val="2"/>
          <scheme val="none"/>
        </font>
      </dxf>
    </rfmt>
    <rfmt sheetId="5" sqref="P135" start="0" length="0">
      <dxf>
        <font>
          <sz val="11"/>
          <color rgb="FF000000"/>
          <name val="Calibri"/>
          <family val="2"/>
          <scheme val="none"/>
        </font>
      </dxf>
    </rfmt>
    <rfmt sheetId="5" sqref="P136" start="0" length="0">
      <dxf>
        <font>
          <sz val="11"/>
          <color rgb="FF000000"/>
          <name val="Calibri"/>
          <family val="2"/>
          <scheme val="none"/>
        </font>
      </dxf>
    </rfmt>
    <rfmt sheetId="5" sqref="P137" start="0" length="0">
      <dxf>
        <font>
          <sz val="11"/>
          <color rgb="FF000000"/>
          <name val="Calibri"/>
          <family val="2"/>
          <scheme val="none"/>
        </font>
      </dxf>
    </rfmt>
    <rfmt sheetId="5" sqref="P138" start="0" length="0">
      <dxf>
        <font>
          <sz val="11"/>
          <color rgb="FF000000"/>
          <name val="Calibri"/>
          <family val="2"/>
          <scheme val="none"/>
        </font>
      </dxf>
    </rfmt>
    <rfmt sheetId="5" sqref="P139" start="0" length="0">
      <dxf>
        <font>
          <sz val="11"/>
          <color rgb="FF000000"/>
          <name val="Calibri"/>
          <family val="2"/>
          <scheme val="none"/>
        </font>
      </dxf>
    </rfmt>
    <rfmt sheetId="5" sqref="P140" start="0" length="0">
      <dxf>
        <font>
          <sz val="11"/>
          <color rgb="FF000000"/>
          <name val="Calibri"/>
          <family val="2"/>
          <scheme val="none"/>
        </font>
      </dxf>
    </rfmt>
    <rfmt sheetId="5" sqref="P141" start="0" length="0">
      <dxf>
        <font>
          <sz val="11"/>
          <color rgb="FF000000"/>
          <name val="Calibri"/>
          <family val="2"/>
          <scheme val="none"/>
        </font>
      </dxf>
    </rfmt>
    <rfmt sheetId="5" sqref="P142" start="0" length="0">
      <dxf>
        <font>
          <sz val="11"/>
          <color rgb="FF000000"/>
          <name val="Calibri"/>
          <family val="2"/>
          <scheme val="none"/>
        </font>
      </dxf>
    </rfmt>
    <rfmt sheetId="5" sqref="P143" start="0" length="0">
      <dxf>
        <font>
          <sz val="11"/>
          <color rgb="FF000000"/>
          <name val="Calibri"/>
          <family val="2"/>
          <scheme val="none"/>
        </font>
      </dxf>
    </rfmt>
    <rfmt sheetId="5" sqref="P144" start="0" length="0">
      <dxf>
        <font>
          <sz val="11"/>
          <color rgb="FF000000"/>
          <name val="Calibri"/>
          <family val="2"/>
          <scheme val="none"/>
        </font>
      </dxf>
    </rfmt>
    <rfmt sheetId="5" sqref="P145" start="0" length="0">
      <dxf>
        <font>
          <sz val="11"/>
          <color rgb="FF000000"/>
          <name val="Calibri"/>
          <family val="2"/>
          <scheme val="none"/>
        </font>
      </dxf>
    </rfmt>
    <rfmt sheetId="5" sqref="P146" start="0" length="0">
      <dxf>
        <font>
          <sz val="11"/>
          <color rgb="FF000000"/>
          <name val="Calibri"/>
          <family val="2"/>
          <scheme val="none"/>
        </font>
      </dxf>
    </rfmt>
    <rfmt sheetId="5" sqref="P147" start="0" length="0">
      <dxf>
        <font>
          <sz val="11"/>
          <color rgb="FF000000"/>
          <name val="Calibri"/>
          <family val="2"/>
          <scheme val="none"/>
        </font>
      </dxf>
    </rfmt>
    <rfmt sheetId="5" sqref="P148" start="0" length="0">
      <dxf>
        <font>
          <sz val="11"/>
          <color rgb="FF000000"/>
          <name val="Calibri"/>
          <family val="2"/>
          <scheme val="none"/>
        </font>
      </dxf>
    </rfmt>
    <rfmt sheetId="5" sqref="P149" start="0" length="0">
      <dxf>
        <font>
          <sz val="11"/>
          <color rgb="FF000000"/>
          <name val="Calibri"/>
          <family val="2"/>
          <scheme val="none"/>
        </font>
      </dxf>
    </rfmt>
    <rfmt sheetId="5" sqref="P150" start="0" length="0">
      <dxf>
        <font>
          <sz val="11"/>
          <color rgb="FF000000"/>
          <name val="Calibri"/>
          <family val="2"/>
          <scheme val="none"/>
        </font>
      </dxf>
    </rfmt>
    <rfmt sheetId="5" sqref="P151" start="0" length="0">
      <dxf>
        <font>
          <sz val="11"/>
          <color rgb="FF000000"/>
          <name val="Calibri"/>
          <family val="2"/>
          <scheme val="none"/>
        </font>
      </dxf>
    </rfmt>
    <rfmt sheetId="5" sqref="P152" start="0" length="0">
      <dxf>
        <font>
          <sz val="11"/>
          <color rgb="FF000000"/>
          <name val="Calibri"/>
          <family val="2"/>
          <scheme val="none"/>
        </font>
      </dxf>
    </rfmt>
    <rfmt sheetId="5" sqref="P153" start="0" length="0">
      <dxf>
        <font>
          <sz val="11"/>
          <color rgb="FF000000"/>
          <name val="Calibri"/>
          <family val="2"/>
          <scheme val="none"/>
        </font>
      </dxf>
    </rfmt>
    <rfmt sheetId="5" sqref="P154" start="0" length="0">
      <dxf>
        <font>
          <sz val="11"/>
          <color rgb="FF000000"/>
          <name val="Calibri"/>
          <family val="2"/>
          <scheme val="none"/>
        </font>
      </dxf>
    </rfmt>
    <rfmt sheetId="5" sqref="P155" start="0" length="0">
      <dxf>
        <font>
          <sz val="11"/>
          <color rgb="FF000000"/>
          <name val="Calibri"/>
          <family val="2"/>
          <scheme val="none"/>
        </font>
      </dxf>
    </rfmt>
    <rfmt sheetId="5" sqref="P156" start="0" length="0">
      <dxf>
        <font>
          <sz val="11"/>
          <color rgb="FF000000"/>
          <name val="Calibri"/>
          <family val="2"/>
          <scheme val="none"/>
        </font>
      </dxf>
    </rfmt>
    <rfmt sheetId="5" sqref="P157" start="0" length="0">
      <dxf>
        <font>
          <sz val="11"/>
          <color rgb="FF000000"/>
          <name val="Calibri"/>
          <family val="2"/>
          <scheme val="none"/>
        </font>
      </dxf>
    </rfmt>
    <rfmt sheetId="5" sqref="P158" start="0" length="0">
      <dxf>
        <font>
          <sz val="11"/>
          <color rgb="FF000000"/>
          <name val="Calibri"/>
          <family val="2"/>
          <scheme val="none"/>
        </font>
      </dxf>
    </rfmt>
    <rfmt sheetId="5" sqref="P159" start="0" length="0">
      <dxf>
        <font>
          <sz val="11"/>
          <color rgb="FF000000"/>
          <name val="Calibri"/>
          <family val="2"/>
          <scheme val="none"/>
        </font>
      </dxf>
    </rfmt>
    <rfmt sheetId="5" sqref="P160" start="0" length="0">
      <dxf>
        <font>
          <sz val="11"/>
          <color rgb="FF000000"/>
          <name val="Calibri"/>
          <family val="2"/>
          <scheme val="none"/>
        </font>
      </dxf>
    </rfmt>
    <rfmt sheetId="5" sqref="P161" start="0" length="0">
      <dxf>
        <font>
          <sz val="11"/>
          <color rgb="FF000000"/>
          <name val="Calibri"/>
          <family val="2"/>
          <scheme val="none"/>
        </font>
      </dxf>
    </rfmt>
    <rfmt sheetId="5" sqref="P162" start="0" length="0">
      <dxf>
        <font>
          <sz val="11"/>
          <color rgb="FF000000"/>
          <name val="Calibri"/>
          <family val="2"/>
          <scheme val="none"/>
        </font>
      </dxf>
    </rfmt>
    <rfmt sheetId="5" sqref="P163" start="0" length="0">
      <dxf>
        <font>
          <sz val="11"/>
          <color rgb="FF000000"/>
          <name val="Calibri"/>
          <family val="2"/>
          <scheme val="none"/>
        </font>
      </dxf>
    </rfmt>
    <rfmt sheetId="5" sqref="P164" start="0" length="0">
      <dxf>
        <font>
          <sz val="11"/>
          <color rgb="FF000000"/>
          <name val="Calibri"/>
          <family val="2"/>
          <scheme val="none"/>
        </font>
      </dxf>
    </rfmt>
    <rfmt sheetId="5" sqref="P165" start="0" length="0">
      <dxf>
        <font>
          <sz val="11"/>
          <color rgb="FF000000"/>
          <name val="Calibri"/>
          <family val="2"/>
          <scheme val="none"/>
        </font>
      </dxf>
    </rfmt>
    <rfmt sheetId="5" sqref="P166" start="0" length="0">
      <dxf>
        <font>
          <sz val="11"/>
          <color rgb="FF000000"/>
          <name val="Calibri"/>
          <family val="2"/>
          <scheme val="none"/>
        </font>
      </dxf>
    </rfmt>
    <rfmt sheetId="5" sqref="P167" start="0" length="0">
      <dxf>
        <font>
          <sz val="11"/>
          <color rgb="FF000000"/>
          <name val="Calibri"/>
          <family val="2"/>
          <scheme val="none"/>
        </font>
      </dxf>
    </rfmt>
    <rfmt sheetId="5" sqref="P168" start="0" length="0">
      <dxf>
        <font>
          <sz val="11"/>
          <color rgb="FF000000"/>
          <name val="Calibri"/>
          <family val="2"/>
          <scheme val="none"/>
        </font>
      </dxf>
    </rfmt>
    <rfmt sheetId="5" sqref="P169" start="0" length="0">
      <dxf>
        <font>
          <sz val="11"/>
          <color rgb="FF000000"/>
          <name val="Calibri"/>
          <family val="2"/>
          <scheme val="none"/>
        </font>
      </dxf>
    </rfmt>
    <rfmt sheetId="5" sqref="P170" start="0" length="0">
      <dxf>
        <font>
          <sz val="11"/>
          <color rgb="FF000000"/>
          <name val="Calibri"/>
          <family val="2"/>
          <scheme val="none"/>
        </font>
      </dxf>
    </rfmt>
    <rfmt sheetId="5" sqref="P171" start="0" length="0">
      <dxf>
        <font>
          <sz val="11"/>
          <color rgb="FF000000"/>
          <name val="Calibri"/>
          <family val="2"/>
          <scheme val="none"/>
        </font>
      </dxf>
    </rfmt>
    <rfmt sheetId="5" sqref="P172" start="0" length="0">
      <dxf>
        <font>
          <sz val="11"/>
          <color rgb="FF000000"/>
          <name val="Calibri"/>
          <family val="2"/>
          <scheme val="none"/>
        </font>
      </dxf>
    </rfmt>
    <rfmt sheetId="5" sqref="P173" start="0" length="0">
      <dxf>
        <font>
          <sz val="11"/>
          <color rgb="FF000000"/>
          <name val="Calibri"/>
          <family val="2"/>
          <scheme val="none"/>
        </font>
      </dxf>
    </rfmt>
    <rfmt sheetId="5" sqref="P174" start="0" length="0">
      <dxf>
        <font>
          <sz val="11"/>
          <color rgb="FF000000"/>
          <name val="Calibri"/>
          <family val="2"/>
          <scheme val="none"/>
        </font>
      </dxf>
    </rfmt>
    <rfmt sheetId="5" sqref="P175" start="0" length="0">
      <dxf>
        <font>
          <sz val="11"/>
          <color rgb="FF000000"/>
          <name val="Calibri"/>
          <family val="2"/>
          <scheme val="none"/>
        </font>
      </dxf>
    </rfmt>
    <rfmt sheetId="5" sqref="P176" start="0" length="0">
      <dxf>
        <font>
          <sz val="11"/>
          <color rgb="FF000000"/>
          <name val="Calibri"/>
          <family val="2"/>
          <scheme val="none"/>
        </font>
      </dxf>
    </rfmt>
    <rfmt sheetId="5" sqref="P177" start="0" length="0">
      <dxf>
        <font>
          <sz val="11"/>
          <color rgb="FF000000"/>
          <name val="Calibri"/>
          <family val="2"/>
          <scheme val="none"/>
        </font>
      </dxf>
    </rfmt>
    <rfmt sheetId="5" sqref="P178" start="0" length="0">
      <dxf>
        <font>
          <sz val="11"/>
          <color rgb="FF000000"/>
          <name val="Calibri"/>
          <family val="2"/>
          <scheme val="none"/>
        </font>
      </dxf>
    </rfmt>
    <rfmt sheetId="5" sqref="P179" start="0" length="0">
      <dxf>
        <font>
          <sz val="11"/>
          <color rgb="FF000000"/>
          <name val="Calibri"/>
          <family val="2"/>
          <scheme val="none"/>
        </font>
      </dxf>
    </rfmt>
    <rfmt sheetId="5" sqref="P180" start="0" length="0">
      <dxf>
        <font>
          <sz val="11"/>
          <color rgb="FF000000"/>
          <name val="Calibri"/>
          <family val="2"/>
          <scheme val="none"/>
        </font>
      </dxf>
    </rfmt>
    <rfmt sheetId="5" sqref="P181" start="0" length="0">
      <dxf>
        <font>
          <sz val="11"/>
          <color rgb="FF000000"/>
          <name val="Calibri"/>
          <family val="2"/>
          <scheme val="none"/>
        </font>
      </dxf>
    </rfmt>
    <rfmt sheetId="5" sqref="P182" start="0" length="0">
      <dxf>
        <font>
          <sz val="11"/>
          <color rgb="FF000000"/>
          <name val="Calibri"/>
          <family val="2"/>
          <scheme val="none"/>
        </font>
      </dxf>
    </rfmt>
    <rfmt sheetId="5" sqref="P183" start="0" length="0">
      <dxf>
        <font>
          <sz val="11"/>
          <color rgb="FF000000"/>
          <name val="Calibri"/>
          <family val="2"/>
          <scheme val="none"/>
        </font>
      </dxf>
    </rfmt>
    <rfmt sheetId="5" sqref="P184" start="0" length="0">
      <dxf>
        <font>
          <sz val="11"/>
          <color rgb="FF000000"/>
          <name val="Calibri"/>
          <family val="2"/>
          <scheme val="none"/>
        </font>
      </dxf>
    </rfmt>
    <rfmt sheetId="5" sqref="P185" start="0" length="0">
      <dxf>
        <font>
          <sz val="11"/>
          <color rgb="FF000000"/>
          <name val="Calibri"/>
          <family val="2"/>
          <scheme val="none"/>
        </font>
      </dxf>
    </rfmt>
    <rfmt sheetId="5" sqref="P186" start="0" length="0">
      <dxf>
        <font>
          <sz val="11"/>
          <color rgb="FF000000"/>
          <name val="Calibri"/>
          <family val="2"/>
          <scheme val="none"/>
        </font>
      </dxf>
    </rfmt>
    <rfmt sheetId="5" sqref="P187" start="0" length="0">
      <dxf>
        <font>
          <sz val="11"/>
          <color rgb="FF000000"/>
          <name val="Calibri"/>
          <family val="2"/>
          <scheme val="none"/>
        </font>
      </dxf>
    </rfmt>
    <rfmt sheetId="5" sqref="P188" start="0" length="0">
      <dxf>
        <font>
          <sz val="11"/>
          <color rgb="FF000000"/>
          <name val="Calibri"/>
          <family val="2"/>
          <scheme val="none"/>
        </font>
      </dxf>
    </rfmt>
    <rfmt sheetId="5" sqref="P189" start="0" length="0">
      <dxf>
        <font>
          <sz val="11"/>
          <color rgb="FF000000"/>
          <name val="Calibri"/>
          <family val="2"/>
          <scheme val="none"/>
        </font>
      </dxf>
    </rfmt>
    <rfmt sheetId="5" sqref="P190" start="0" length="0">
      <dxf>
        <font>
          <sz val="11"/>
          <color rgb="FF000000"/>
          <name val="Calibri"/>
          <family val="2"/>
          <scheme val="none"/>
        </font>
      </dxf>
    </rfmt>
    <rfmt sheetId="5" sqref="P191" start="0" length="0">
      <dxf>
        <font>
          <sz val="11"/>
          <color rgb="FF000000"/>
          <name val="Calibri"/>
          <family val="2"/>
          <scheme val="none"/>
        </font>
      </dxf>
    </rfmt>
    <rfmt sheetId="5" sqref="P192" start="0" length="0">
      <dxf>
        <font>
          <sz val="11"/>
          <color rgb="FF000000"/>
          <name val="Calibri"/>
          <family val="2"/>
          <scheme val="none"/>
        </font>
      </dxf>
    </rfmt>
    <rfmt sheetId="5" sqref="P193" start="0" length="0">
      <dxf>
        <font>
          <sz val="11"/>
          <color rgb="FF000000"/>
          <name val="Calibri"/>
          <family val="2"/>
          <scheme val="none"/>
        </font>
      </dxf>
    </rfmt>
    <rfmt sheetId="5" sqref="P194" start="0" length="0">
      <dxf>
        <font>
          <sz val="11"/>
          <color rgb="FF000000"/>
          <name val="Calibri"/>
          <family val="2"/>
          <scheme val="none"/>
        </font>
      </dxf>
    </rfmt>
    <rfmt sheetId="5" sqref="P195" start="0" length="0">
      <dxf>
        <font>
          <sz val="11"/>
          <color rgb="FF000000"/>
          <name val="Calibri"/>
          <family val="2"/>
          <scheme val="none"/>
        </font>
      </dxf>
    </rfmt>
    <rfmt sheetId="5" sqref="P196" start="0" length="0">
      <dxf>
        <font>
          <sz val="11"/>
          <color rgb="FF000000"/>
          <name val="Calibri"/>
          <family val="2"/>
          <scheme val="none"/>
        </font>
      </dxf>
    </rfmt>
    <rfmt sheetId="5" sqref="P197" start="0" length="0">
      <dxf>
        <font>
          <sz val="11"/>
          <color rgb="FF000000"/>
          <name val="Calibri"/>
          <family val="2"/>
          <scheme val="none"/>
        </font>
      </dxf>
    </rfmt>
    <rfmt sheetId="5" sqref="P198" start="0" length="0">
      <dxf>
        <font>
          <sz val="11"/>
          <color rgb="FF000000"/>
          <name val="Calibri"/>
          <family val="2"/>
          <scheme val="none"/>
        </font>
      </dxf>
    </rfmt>
    <rfmt sheetId="5" sqref="P199" start="0" length="0">
      <dxf>
        <font>
          <sz val="11"/>
          <color rgb="FF000000"/>
          <name val="Calibri"/>
          <family val="2"/>
          <scheme val="none"/>
        </font>
      </dxf>
    </rfmt>
    <rfmt sheetId="5" sqref="P200" start="0" length="0">
      <dxf>
        <font>
          <sz val="11"/>
          <color rgb="FF000000"/>
          <name val="Calibri"/>
          <family val="2"/>
          <scheme val="none"/>
        </font>
      </dxf>
    </rfmt>
    <rfmt sheetId="5" sqref="P201" start="0" length="0">
      <dxf>
        <font>
          <sz val="11"/>
          <color rgb="FF000000"/>
          <name val="Calibri"/>
          <family val="2"/>
          <scheme val="none"/>
        </font>
      </dxf>
    </rfmt>
    <rfmt sheetId="5" sqref="P202" start="0" length="0">
      <dxf>
        <font>
          <sz val="11"/>
          <color rgb="FF000000"/>
          <name val="Calibri"/>
          <family val="2"/>
          <scheme val="none"/>
        </font>
      </dxf>
    </rfmt>
    <rfmt sheetId="5" sqref="P203" start="0" length="0">
      <dxf>
        <font>
          <sz val="11"/>
          <color rgb="FF000000"/>
          <name val="Calibri"/>
          <family val="2"/>
          <scheme val="none"/>
        </font>
      </dxf>
    </rfmt>
    <rfmt sheetId="5" sqref="P204" start="0" length="0">
      <dxf>
        <font>
          <sz val="11"/>
          <color rgb="FF000000"/>
          <name val="Calibri"/>
          <family val="2"/>
          <scheme val="none"/>
        </font>
      </dxf>
    </rfmt>
    <rfmt sheetId="5" sqref="P205" start="0" length="0">
      <dxf>
        <font>
          <sz val="11"/>
          <color rgb="FF000000"/>
          <name val="Calibri"/>
          <family val="2"/>
          <scheme val="none"/>
        </font>
      </dxf>
    </rfmt>
    <rfmt sheetId="5" sqref="P206" start="0" length="0">
      <dxf>
        <font>
          <sz val="11"/>
          <color rgb="FF000000"/>
          <name val="Calibri"/>
          <family val="2"/>
          <scheme val="none"/>
        </font>
      </dxf>
    </rfmt>
    <rfmt sheetId="5" sqref="P207" start="0" length="0">
      <dxf>
        <font>
          <sz val="11"/>
          <color rgb="FF000000"/>
          <name val="Calibri"/>
          <family val="2"/>
          <scheme val="none"/>
        </font>
      </dxf>
    </rfmt>
    <rfmt sheetId="5" sqref="P208" start="0" length="0">
      <dxf>
        <font>
          <sz val="11"/>
          <color rgb="FF000000"/>
          <name val="Calibri"/>
          <family val="2"/>
          <scheme val="none"/>
        </font>
      </dxf>
    </rfmt>
    <rfmt sheetId="5" sqref="P209" start="0" length="0">
      <dxf>
        <font>
          <sz val="11"/>
          <color rgb="FF000000"/>
          <name val="Calibri"/>
          <family val="2"/>
          <scheme val="none"/>
        </font>
      </dxf>
    </rfmt>
    <rfmt sheetId="5" sqref="P210" start="0" length="0">
      <dxf>
        <font>
          <sz val="11"/>
          <color rgb="FF000000"/>
          <name val="Calibri"/>
          <family val="2"/>
          <scheme val="none"/>
        </font>
      </dxf>
    </rfmt>
    <rfmt sheetId="5" sqref="P211" start="0" length="0">
      <dxf>
        <font>
          <sz val="11"/>
          <color rgb="FF000000"/>
          <name val="Calibri"/>
          <family val="2"/>
          <scheme val="none"/>
        </font>
      </dxf>
    </rfmt>
    <rfmt sheetId="5" sqref="P212" start="0" length="0">
      <dxf>
        <font>
          <sz val="11"/>
          <color rgb="FF000000"/>
          <name val="Calibri"/>
          <family val="2"/>
          <scheme val="none"/>
        </font>
      </dxf>
    </rfmt>
    <rfmt sheetId="5" sqref="P213" start="0" length="0">
      <dxf>
        <font>
          <sz val="11"/>
          <color rgb="FF000000"/>
          <name val="Calibri"/>
          <family val="2"/>
          <scheme val="none"/>
        </font>
      </dxf>
    </rfmt>
    <rfmt sheetId="5" sqref="P214" start="0" length="0">
      <dxf>
        <font>
          <sz val="11"/>
          <color rgb="FF000000"/>
          <name val="Calibri"/>
          <family val="2"/>
          <scheme val="none"/>
        </font>
      </dxf>
    </rfmt>
    <rfmt sheetId="5" sqref="P215" start="0" length="0">
      <dxf>
        <font>
          <sz val="11"/>
          <color rgb="FF000000"/>
          <name val="Calibri"/>
          <family val="2"/>
          <scheme val="none"/>
        </font>
      </dxf>
    </rfmt>
    <rfmt sheetId="5" sqref="P216" start="0" length="0">
      <dxf>
        <font>
          <sz val="11"/>
          <color rgb="FF000000"/>
          <name val="Calibri"/>
          <family val="2"/>
          <scheme val="none"/>
        </font>
      </dxf>
    </rfmt>
    <rfmt sheetId="5" sqref="P217" start="0" length="0">
      <dxf>
        <font>
          <sz val="11"/>
          <color rgb="FF000000"/>
          <name val="Calibri"/>
          <family val="2"/>
          <scheme val="none"/>
        </font>
      </dxf>
    </rfmt>
    <rfmt sheetId="5" sqref="P218" start="0" length="0">
      <dxf>
        <font>
          <sz val="11"/>
          <color rgb="FF000000"/>
          <name val="Calibri"/>
          <family val="2"/>
          <scheme val="none"/>
        </font>
      </dxf>
    </rfmt>
    <rfmt sheetId="5" sqref="P219" start="0" length="0">
      <dxf>
        <font>
          <sz val="11"/>
          <color rgb="FF000000"/>
          <name val="Calibri"/>
          <family val="2"/>
          <scheme val="none"/>
        </font>
      </dxf>
    </rfmt>
    <rfmt sheetId="5" sqref="P220" start="0" length="0">
      <dxf>
        <font>
          <sz val="11"/>
          <color rgb="FF000000"/>
          <name val="Calibri"/>
          <family val="2"/>
          <scheme val="none"/>
        </font>
      </dxf>
    </rfmt>
    <rfmt sheetId="5" sqref="P221" start="0" length="0">
      <dxf>
        <font>
          <sz val="11"/>
          <color rgb="FF000000"/>
          <name val="Calibri"/>
          <family val="2"/>
          <scheme val="none"/>
        </font>
      </dxf>
    </rfmt>
    <rfmt sheetId="5" sqref="P222" start="0" length="0">
      <dxf>
        <font>
          <sz val="11"/>
          <color rgb="FF000000"/>
          <name val="Calibri"/>
          <family val="2"/>
          <scheme val="none"/>
        </font>
      </dxf>
    </rfmt>
    <rfmt sheetId="5" sqref="P223" start="0" length="0">
      <dxf>
        <font>
          <sz val="11"/>
          <color rgb="FF000000"/>
          <name val="Calibri"/>
          <family val="2"/>
          <scheme val="none"/>
        </font>
      </dxf>
    </rfmt>
    <rfmt sheetId="5" sqref="P224" start="0" length="0">
      <dxf>
        <font>
          <sz val="11"/>
          <color rgb="FF000000"/>
          <name val="Calibri"/>
          <family val="2"/>
          <scheme val="none"/>
        </font>
      </dxf>
    </rfmt>
    <rfmt sheetId="5" sqref="P225" start="0" length="0">
      <dxf>
        <font>
          <sz val="11"/>
          <color rgb="FF000000"/>
          <name val="Calibri"/>
          <family val="2"/>
          <scheme val="none"/>
        </font>
      </dxf>
    </rfmt>
    <rfmt sheetId="5" sqref="P226" start="0" length="0">
      <dxf>
        <font>
          <sz val="11"/>
          <color rgb="FF000000"/>
          <name val="Calibri"/>
          <family val="2"/>
          <scheme val="none"/>
        </font>
      </dxf>
    </rfmt>
    <rfmt sheetId="5" sqref="P227" start="0" length="0">
      <dxf>
        <font>
          <sz val="11"/>
          <color rgb="FF000000"/>
          <name val="Calibri"/>
          <family val="2"/>
          <scheme val="none"/>
        </font>
      </dxf>
    </rfmt>
    <rfmt sheetId="5" sqref="P228" start="0" length="0">
      <dxf>
        <font>
          <sz val="11"/>
          <color rgb="FF000000"/>
          <name val="Calibri"/>
          <family val="2"/>
          <scheme val="none"/>
        </font>
      </dxf>
    </rfmt>
    <rfmt sheetId="5" sqref="P229" start="0" length="0">
      <dxf>
        <font>
          <sz val="11"/>
          <color rgb="FF000000"/>
          <name val="Calibri"/>
          <family val="2"/>
          <scheme val="none"/>
        </font>
      </dxf>
    </rfmt>
    <rfmt sheetId="5" sqref="P230" start="0" length="0">
      <dxf>
        <font>
          <sz val="11"/>
          <color rgb="FF000000"/>
          <name val="Calibri"/>
          <family val="2"/>
          <scheme val="none"/>
        </font>
      </dxf>
    </rfmt>
    <rfmt sheetId="5" sqref="P231" start="0" length="0">
      <dxf>
        <font>
          <sz val="11"/>
          <color rgb="FF000000"/>
          <name val="Calibri"/>
          <family val="2"/>
          <scheme val="none"/>
        </font>
      </dxf>
    </rfmt>
    <rfmt sheetId="5" sqref="P232" start="0" length="0">
      <dxf>
        <font>
          <sz val="11"/>
          <color rgb="FF000000"/>
          <name val="Calibri"/>
          <family val="2"/>
          <scheme val="none"/>
        </font>
      </dxf>
    </rfmt>
    <rfmt sheetId="5" sqref="P233" start="0" length="0">
      <dxf>
        <font>
          <sz val="11"/>
          <color rgb="FF000000"/>
          <name val="Calibri"/>
          <family val="2"/>
          <scheme val="none"/>
        </font>
      </dxf>
    </rfmt>
    <rfmt sheetId="5" sqref="P234" start="0" length="0">
      <dxf>
        <font>
          <sz val="11"/>
          <color rgb="FF000000"/>
          <name val="Calibri"/>
          <family val="2"/>
          <scheme val="none"/>
        </font>
      </dxf>
    </rfmt>
    <rfmt sheetId="5" sqref="P235" start="0" length="0">
      <dxf>
        <font>
          <sz val="11"/>
          <color rgb="FF000000"/>
          <name val="Calibri"/>
          <family val="2"/>
          <scheme val="none"/>
        </font>
      </dxf>
    </rfmt>
    <rfmt sheetId="5" sqref="P236" start="0" length="0">
      <dxf>
        <font>
          <sz val="11"/>
          <color rgb="FF000000"/>
          <name val="Calibri"/>
          <family val="2"/>
          <scheme val="none"/>
        </font>
      </dxf>
    </rfmt>
    <rfmt sheetId="5" sqref="P237" start="0" length="0">
      <dxf>
        <font>
          <sz val="11"/>
          <color rgb="FF000000"/>
          <name val="Calibri"/>
          <family val="2"/>
          <scheme val="none"/>
        </font>
      </dxf>
    </rfmt>
    <rfmt sheetId="5" sqref="P238" start="0" length="0">
      <dxf>
        <font>
          <sz val="11"/>
          <color rgb="FF000000"/>
          <name val="Calibri"/>
          <family val="2"/>
          <scheme val="none"/>
        </font>
      </dxf>
    </rfmt>
    <rfmt sheetId="5" sqref="P239" start="0" length="0">
      <dxf>
        <font>
          <sz val="11"/>
          <color rgb="FF000000"/>
          <name val="Calibri"/>
          <family val="2"/>
          <scheme val="none"/>
        </font>
      </dxf>
    </rfmt>
    <rfmt sheetId="5" sqref="P240" start="0" length="0">
      <dxf>
        <font>
          <sz val="11"/>
          <color rgb="FF000000"/>
          <name val="Calibri"/>
          <family val="2"/>
          <scheme val="none"/>
        </font>
      </dxf>
    </rfmt>
    <rfmt sheetId="5" sqref="P241" start="0" length="0">
      <dxf>
        <font>
          <sz val="11"/>
          <color rgb="FF000000"/>
          <name val="Calibri"/>
          <family val="2"/>
          <scheme val="none"/>
        </font>
      </dxf>
    </rfmt>
    <rfmt sheetId="5" sqref="P242" start="0" length="0">
      <dxf>
        <font>
          <sz val="11"/>
          <color rgb="FF000000"/>
          <name val="Calibri"/>
          <family val="2"/>
          <scheme val="none"/>
        </font>
      </dxf>
    </rfmt>
    <rfmt sheetId="5" sqref="P243" start="0" length="0">
      <dxf>
        <font>
          <sz val="11"/>
          <color rgb="FF000000"/>
          <name val="Calibri"/>
          <family val="2"/>
          <scheme val="none"/>
        </font>
      </dxf>
    </rfmt>
    <rfmt sheetId="5" sqref="P244" start="0" length="0">
      <dxf>
        <font>
          <sz val="11"/>
          <color rgb="FF000000"/>
          <name val="Calibri"/>
          <family val="2"/>
          <scheme val="none"/>
        </font>
      </dxf>
    </rfmt>
    <rfmt sheetId="5" sqref="P245" start="0" length="0">
      <dxf>
        <font>
          <sz val="11"/>
          <color rgb="FF000000"/>
          <name val="Calibri"/>
          <family val="2"/>
          <scheme val="none"/>
        </font>
      </dxf>
    </rfmt>
    <rfmt sheetId="5" sqref="P246" start="0" length="0">
      <dxf>
        <font>
          <sz val="11"/>
          <color rgb="FF000000"/>
          <name val="Calibri"/>
          <family val="2"/>
          <scheme val="none"/>
        </font>
      </dxf>
    </rfmt>
    <rfmt sheetId="5" sqref="P247" start="0" length="0">
      <dxf>
        <font>
          <sz val="11"/>
          <color rgb="FF000000"/>
          <name val="Calibri"/>
          <family val="2"/>
          <scheme val="none"/>
        </font>
      </dxf>
    </rfmt>
    <rfmt sheetId="5" sqref="P248" start="0" length="0">
      <dxf>
        <font>
          <sz val="11"/>
          <color rgb="FF000000"/>
          <name val="Calibri"/>
          <family val="2"/>
          <scheme val="none"/>
        </font>
      </dxf>
    </rfmt>
    <rfmt sheetId="5" sqref="P249" start="0" length="0">
      <dxf>
        <font>
          <sz val="11"/>
          <color rgb="FF000000"/>
          <name val="Calibri"/>
          <family val="2"/>
          <scheme val="none"/>
        </font>
      </dxf>
    </rfmt>
    <rfmt sheetId="5" sqref="P250" start="0" length="0">
      <dxf>
        <font>
          <sz val="11"/>
          <color rgb="FF000000"/>
          <name val="Calibri"/>
          <family val="2"/>
          <scheme val="none"/>
        </font>
      </dxf>
    </rfmt>
    <rfmt sheetId="5" sqref="P251" start="0" length="0">
      <dxf>
        <font>
          <sz val="11"/>
          <color rgb="FF000000"/>
          <name val="Calibri"/>
          <family val="2"/>
          <scheme val="none"/>
        </font>
      </dxf>
    </rfmt>
    <rfmt sheetId="5" sqref="P252" start="0" length="0">
      <dxf>
        <font>
          <sz val="11"/>
          <color rgb="FF000000"/>
          <name val="Calibri"/>
          <family val="2"/>
          <scheme val="none"/>
        </font>
      </dxf>
    </rfmt>
    <rfmt sheetId="5" sqref="P253" start="0" length="0">
      <dxf>
        <font>
          <sz val="11"/>
          <color rgb="FF000000"/>
          <name val="Calibri"/>
          <family val="2"/>
          <scheme val="none"/>
        </font>
      </dxf>
    </rfmt>
    <rfmt sheetId="5" sqref="P254" start="0" length="0">
      <dxf>
        <font>
          <sz val="11"/>
          <color rgb="FF000000"/>
          <name val="Calibri"/>
          <family val="2"/>
          <scheme val="none"/>
        </font>
      </dxf>
    </rfmt>
    <rfmt sheetId="5" sqref="P255" start="0" length="0">
      <dxf>
        <font>
          <sz val="11"/>
          <color rgb="FF000000"/>
          <name val="Calibri"/>
          <family val="2"/>
          <scheme val="none"/>
        </font>
      </dxf>
    </rfmt>
    <rfmt sheetId="5" sqref="P256" start="0" length="0">
      <dxf>
        <font>
          <sz val="11"/>
          <color rgb="FF000000"/>
          <name val="Calibri"/>
          <family val="2"/>
          <scheme val="none"/>
        </font>
      </dxf>
    </rfmt>
    <rfmt sheetId="5" sqref="P257" start="0" length="0">
      <dxf>
        <font>
          <sz val="11"/>
          <color rgb="FF000000"/>
          <name val="Calibri"/>
          <family val="2"/>
          <scheme val="none"/>
        </font>
      </dxf>
    </rfmt>
    <rfmt sheetId="5" sqref="P258" start="0" length="0">
      <dxf>
        <font>
          <sz val="11"/>
          <color rgb="FF000000"/>
          <name val="Calibri"/>
          <family val="2"/>
          <scheme val="none"/>
        </font>
      </dxf>
    </rfmt>
    <rfmt sheetId="5" sqref="P259" start="0" length="0">
      <dxf>
        <font>
          <sz val="11"/>
          <color rgb="FF000000"/>
          <name val="Calibri"/>
          <family val="2"/>
          <scheme val="none"/>
        </font>
      </dxf>
    </rfmt>
    <rfmt sheetId="5" sqref="P260" start="0" length="0">
      <dxf>
        <font>
          <sz val="11"/>
          <color rgb="FF000000"/>
          <name val="Calibri"/>
          <family val="2"/>
          <scheme val="none"/>
        </font>
      </dxf>
    </rfmt>
    <rfmt sheetId="5" sqref="P261" start="0" length="0">
      <dxf>
        <font>
          <sz val="11"/>
          <color rgb="FF000000"/>
          <name val="Calibri"/>
          <family val="2"/>
          <scheme val="none"/>
        </font>
      </dxf>
    </rfmt>
    <rfmt sheetId="5" sqref="P262" start="0" length="0">
      <dxf>
        <font>
          <sz val="11"/>
          <color rgb="FF000000"/>
          <name val="Calibri"/>
          <family val="2"/>
          <scheme val="none"/>
        </font>
      </dxf>
    </rfmt>
    <rfmt sheetId="5" sqref="P263" start="0" length="0">
      <dxf>
        <font>
          <sz val="11"/>
          <color rgb="FF000000"/>
          <name val="Calibri"/>
          <family val="2"/>
          <scheme val="none"/>
        </font>
      </dxf>
    </rfmt>
    <rfmt sheetId="5" sqref="P264" start="0" length="0">
      <dxf>
        <font>
          <sz val="11"/>
          <color rgb="FF000000"/>
          <name val="Calibri"/>
          <family val="2"/>
          <scheme val="none"/>
        </font>
      </dxf>
    </rfmt>
    <rfmt sheetId="5" sqref="P265" start="0" length="0">
      <dxf>
        <font>
          <sz val="11"/>
          <color rgb="FF000000"/>
          <name val="Calibri"/>
          <family val="2"/>
          <scheme val="none"/>
        </font>
      </dxf>
    </rfmt>
    <rfmt sheetId="5" sqref="P266" start="0" length="0">
      <dxf>
        <font>
          <sz val="11"/>
          <color rgb="FF000000"/>
          <name val="Calibri"/>
          <family val="2"/>
          <scheme val="none"/>
        </font>
      </dxf>
    </rfmt>
    <rfmt sheetId="5" sqref="P267" start="0" length="0">
      <dxf>
        <font>
          <sz val="11"/>
          <color rgb="FF000000"/>
          <name val="Calibri"/>
          <family val="2"/>
          <scheme val="none"/>
        </font>
      </dxf>
    </rfmt>
    <rfmt sheetId="5" sqref="P268" start="0" length="0">
      <dxf>
        <font>
          <sz val="11"/>
          <color rgb="FF000000"/>
          <name val="Calibri"/>
          <family val="2"/>
          <scheme val="none"/>
        </font>
      </dxf>
    </rfmt>
    <rfmt sheetId="5" sqref="P269" start="0" length="0">
      <dxf>
        <font>
          <sz val="11"/>
          <color rgb="FF000000"/>
          <name val="Calibri"/>
          <family val="2"/>
          <scheme val="none"/>
        </font>
      </dxf>
    </rfmt>
    <rfmt sheetId="5" sqref="P270" start="0" length="0">
      <dxf>
        <font>
          <sz val="11"/>
          <color rgb="FF000000"/>
          <name val="Calibri"/>
          <family val="2"/>
          <scheme val="none"/>
        </font>
      </dxf>
    </rfmt>
    <rfmt sheetId="5" sqref="P271" start="0" length="0">
      <dxf>
        <font>
          <sz val="11"/>
          <color rgb="FF000000"/>
          <name val="Calibri"/>
          <family val="2"/>
          <scheme val="none"/>
        </font>
      </dxf>
    </rfmt>
    <rfmt sheetId="5" sqref="P272" start="0" length="0">
      <dxf>
        <font>
          <sz val="11"/>
          <color rgb="FF000000"/>
          <name val="Calibri"/>
          <family val="2"/>
          <scheme val="none"/>
        </font>
      </dxf>
    </rfmt>
    <rfmt sheetId="5" sqref="P273" start="0" length="0">
      <dxf>
        <font>
          <sz val="11"/>
          <color rgb="FF000000"/>
          <name val="Calibri"/>
          <family val="2"/>
          <scheme val="none"/>
        </font>
      </dxf>
    </rfmt>
    <rfmt sheetId="5" sqref="P274" start="0" length="0">
      <dxf>
        <font>
          <sz val="11"/>
          <color rgb="FF000000"/>
          <name val="Calibri"/>
          <family val="2"/>
          <scheme val="none"/>
        </font>
      </dxf>
    </rfmt>
    <rfmt sheetId="5" sqref="P275" start="0" length="0">
      <dxf>
        <font>
          <sz val="11"/>
          <color rgb="FF000000"/>
          <name val="Calibri"/>
          <family val="2"/>
          <scheme val="none"/>
        </font>
      </dxf>
    </rfmt>
    <rfmt sheetId="5" sqref="P276" start="0" length="0">
      <dxf>
        <font>
          <sz val="11"/>
          <color rgb="FF000000"/>
          <name val="Calibri"/>
          <family val="2"/>
          <scheme val="none"/>
        </font>
      </dxf>
    </rfmt>
    <rfmt sheetId="5" sqref="P277" start="0" length="0">
      <dxf>
        <font>
          <sz val="11"/>
          <color rgb="FF000000"/>
          <name val="Calibri"/>
          <family val="2"/>
          <scheme val="none"/>
        </font>
      </dxf>
    </rfmt>
    <rfmt sheetId="5" sqref="P278" start="0" length="0">
      <dxf>
        <font>
          <sz val="11"/>
          <color rgb="FF000000"/>
          <name val="Calibri"/>
          <family val="2"/>
          <scheme val="none"/>
        </font>
      </dxf>
    </rfmt>
    <rfmt sheetId="5" sqref="P279" start="0" length="0">
      <dxf>
        <font>
          <sz val="11"/>
          <color rgb="FF000000"/>
          <name val="Calibri"/>
          <family val="2"/>
          <scheme val="none"/>
        </font>
      </dxf>
    </rfmt>
    <rfmt sheetId="5" sqref="P280" start="0" length="0">
      <dxf>
        <font>
          <sz val="11"/>
          <color rgb="FF000000"/>
          <name val="Calibri"/>
          <family val="2"/>
          <scheme val="none"/>
        </font>
      </dxf>
    </rfmt>
    <rfmt sheetId="5" sqref="P281" start="0" length="0">
      <dxf>
        <font>
          <sz val="11"/>
          <color rgb="FF000000"/>
          <name val="Calibri"/>
          <family val="2"/>
          <scheme val="none"/>
        </font>
      </dxf>
    </rfmt>
    <rfmt sheetId="5" sqref="P282" start="0" length="0">
      <dxf>
        <font>
          <sz val="11"/>
          <color rgb="FF000000"/>
          <name val="Calibri"/>
          <family val="2"/>
          <scheme val="none"/>
        </font>
      </dxf>
    </rfmt>
    <rfmt sheetId="5" sqref="P283" start="0" length="0">
      <dxf>
        <font>
          <sz val="11"/>
          <color rgb="FF000000"/>
          <name val="Calibri"/>
          <family val="2"/>
          <scheme val="none"/>
        </font>
      </dxf>
    </rfmt>
    <rfmt sheetId="5" sqref="P284" start="0" length="0">
      <dxf>
        <font>
          <sz val="11"/>
          <color rgb="FF000000"/>
          <name val="Calibri"/>
          <family val="2"/>
          <scheme val="none"/>
        </font>
      </dxf>
    </rfmt>
    <rfmt sheetId="5" sqref="P285" start="0" length="0">
      <dxf>
        <font>
          <sz val="11"/>
          <color rgb="FF000000"/>
          <name val="Calibri"/>
          <family val="2"/>
          <scheme val="none"/>
        </font>
      </dxf>
    </rfmt>
    <rfmt sheetId="5" sqref="P286" start="0" length="0">
      <dxf>
        <font>
          <sz val="11"/>
          <color rgb="FF000000"/>
          <name val="Calibri"/>
          <family val="2"/>
          <scheme val="none"/>
        </font>
      </dxf>
    </rfmt>
    <rfmt sheetId="5" sqref="P287" start="0" length="0">
      <dxf>
        <font>
          <sz val="11"/>
          <color rgb="FF000000"/>
          <name val="Calibri"/>
          <family val="2"/>
          <scheme val="none"/>
        </font>
      </dxf>
    </rfmt>
    <rfmt sheetId="5" sqref="P288" start="0" length="0">
      <dxf>
        <font>
          <sz val="11"/>
          <color rgb="FF000000"/>
          <name val="Calibri"/>
          <family val="2"/>
          <scheme val="none"/>
        </font>
      </dxf>
    </rfmt>
    <rfmt sheetId="5" sqref="P289" start="0" length="0">
      <dxf>
        <font>
          <sz val="11"/>
          <color rgb="FF000000"/>
          <name val="Calibri"/>
          <family val="2"/>
          <scheme val="none"/>
        </font>
      </dxf>
    </rfmt>
    <rfmt sheetId="5" sqref="P290" start="0" length="0">
      <dxf>
        <font>
          <sz val="11"/>
          <color rgb="FF000000"/>
          <name val="Calibri"/>
          <family val="2"/>
          <scheme val="none"/>
        </font>
      </dxf>
    </rfmt>
    <rfmt sheetId="5" sqref="P291" start="0" length="0">
      <dxf>
        <font>
          <sz val="11"/>
          <color rgb="FF000000"/>
          <name val="Calibri"/>
          <family val="2"/>
          <scheme val="none"/>
        </font>
      </dxf>
    </rfmt>
    <rfmt sheetId="5" sqref="P292" start="0" length="0">
      <dxf>
        <font>
          <sz val="11"/>
          <color rgb="FF000000"/>
          <name val="Calibri"/>
          <family val="2"/>
          <scheme val="none"/>
        </font>
      </dxf>
    </rfmt>
    <rfmt sheetId="5" sqref="P293" start="0" length="0">
      <dxf>
        <font>
          <sz val="11"/>
          <color rgb="FF000000"/>
          <name val="Calibri"/>
          <family val="2"/>
          <scheme val="none"/>
        </font>
      </dxf>
    </rfmt>
    <rfmt sheetId="5" sqref="P294" start="0" length="0">
      <dxf>
        <font>
          <sz val="11"/>
          <color rgb="FF000000"/>
          <name val="Calibri"/>
          <family val="2"/>
          <scheme val="none"/>
        </font>
      </dxf>
    </rfmt>
    <rfmt sheetId="5" sqref="P295" start="0" length="0">
      <dxf>
        <font>
          <sz val="11"/>
          <color rgb="FF000000"/>
          <name val="Calibri"/>
          <family val="2"/>
          <scheme val="none"/>
        </font>
      </dxf>
    </rfmt>
    <rfmt sheetId="5" sqref="P296" start="0" length="0">
      <dxf>
        <font>
          <sz val="11"/>
          <color rgb="FF000000"/>
          <name val="Calibri"/>
          <family val="2"/>
          <scheme val="none"/>
        </font>
      </dxf>
    </rfmt>
    <rfmt sheetId="5" sqref="P297" start="0" length="0">
      <dxf>
        <font>
          <sz val="11"/>
          <color rgb="FF000000"/>
          <name val="Calibri"/>
          <family val="2"/>
          <scheme val="none"/>
        </font>
      </dxf>
    </rfmt>
    <rfmt sheetId="5" sqref="P298" start="0" length="0">
      <dxf>
        <font>
          <sz val="11"/>
          <color rgb="FF000000"/>
          <name val="Calibri"/>
          <family val="2"/>
          <scheme val="none"/>
        </font>
      </dxf>
    </rfmt>
    <rfmt sheetId="5" sqref="P299" start="0" length="0">
      <dxf>
        <font>
          <sz val="11"/>
          <color rgb="FF000000"/>
          <name val="Calibri"/>
          <family val="2"/>
          <scheme val="none"/>
        </font>
      </dxf>
    </rfmt>
    <rfmt sheetId="5" sqref="P300" start="0" length="0">
      <dxf>
        <font>
          <sz val="11"/>
          <color rgb="FF000000"/>
          <name val="Calibri"/>
          <family val="2"/>
          <scheme val="none"/>
        </font>
      </dxf>
    </rfmt>
    <rfmt sheetId="5" sqref="P301" start="0" length="0">
      <dxf>
        <font>
          <sz val="11"/>
          <color rgb="FF000000"/>
          <name val="Calibri"/>
          <family val="2"/>
          <scheme val="none"/>
        </font>
      </dxf>
    </rfmt>
    <rfmt sheetId="5" sqref="P302" start="0" length="0">
      <dxf>
        <font>
          <sz val="11"/>
          <color rgb="FF000000"/>
          <name val="Calibri"/>
          <family val="2"/>
          <scheme val="none"/>
        </font>
      </dxf>
    </rfmt>
    <rfmt sheetId="5" sqref="P303" start="0" length="0">
      <dxf>
        <font>
          <sz val="11"/>
          <color rgb="FF000000"/>
          <name val="Calibri"/>
          <family val="2"/>
          <scheme val="none"/>
        </font>
      </dxf>
    </rfmt>
    <rfmt sheetId="5" sqref="P304" start="0" length="0">
      <dxf>
        <font>
          <sz val="11"/>
          <color rgb="FF000000"/>
          <name val="Calibri"/>
          <family val="2"/>
          <scheme val="none"/>
        </font>
      </dxf>
    </rfmt>
    <rfmt sheetId="5" sqref="P305" start="0" length="0">
      <dxf>
        <font>
          <sz val="11"/>
          <color rgb="FF000000"/>
          <name val="Calibri"/>
          <family val="2"/>
          <scheme val="none"/>
        </font>
      </dxf>
    </rfmt>
    <rfmt sheetId="5" sqref="P306" start="0" length="0">
      <dxf>
        <font>
          <sz val="11"/>
          <color rgb="FF000000"/>
          <name val="Calibri"/>
          <family val="2"/>
          <scheme val="none"/>
        </font>
      </dxf>
    </rfmt>
    <rfmt sheetId="5" sqref="P307" start="0" length="0">
      <dxf>
        <font>
          <sz val="11"/>
          <color rgb="FF000000"/>
          <name val="Calibri"/>
          <family val="2"/>
          <scheme val="none"/>
        </font>
      </dxf>
    </rfmt>
    <rfmt sheetId="5" sqref="P308" start="0" length="0">
      <dxf>
        <font>
          <sz val="11"/>
          <color rgb="FF000000"/>
          <name val="Calibri"/>
          <family val="2"/>
          <scheme val="none"/>
        </font>
      </dxf>
    </rfmt>
    <rfmt sheetId="5" sqref="P309" start="0" length="0">
      <dxf>
        <font>
          <sz val="11"/>
          <color rgb="FF000000"/>
          <name val="Calibri"/>
          <family val="2"/>
          <scheme val="none"/>
        </font>
      </dxf>
    </rfmt>
    <rfmt sheetId="5" sqref="P310" start="0" length="0">
      <dxf>
        <font>
          <sz val="11"/>
          <color rgb="FF000000"/>
          <name val="Calibri"/>
          <family val="2"/>
          <scheme val="none"/>
        </font>
      </dxf>
    </rfmt>
    <rfmt sheetId="5" sqref="P311" start="0" length="0">
      <dxf>
        <font>
          <sz val="11"/>
          <color rgb="FF000000"/>
          <name val="Calibri"/>
          <family val="2"/>
          <scheme val="none"/>
        </font>
      </dxf>
    </rfmt>
    <rfmt sheetId="5" sqref="P312" start="0" length="0">
      <dxf>
        <font>
          <sz val="11"/>
          <color rgb="FF000000"/>
          <name val="Calibri"/>
          <family val="2"/>
          <scheme val="none"/>
        </font>
      </dxf>
    </rfmt>
    <rfmt sheetId="5" sqref="P313" start="0" length="0">
      <dxf>
        <font>
          <sz val="11"/>
          <color rgb="FF000000"/>
          <name val="Calibri"/>
          <family val="2"/>
          <scheme val="none"/>
        </font>
      </dxf>
    </rfmt>
    <rfmt sheetId="5" sqref="P314" start="0" length="0">
      <dxf>
        <font>
          <sz val="11"/>
          <color rgb="FF000000"/>
          <name val="Calibri"/>
          <family val="2"/>
          <scheme val="none"/>
        </font>
      </dxf>
    </rfmt>
    <rfmt sheetId="5" sqref="P315" start="0" length="0">
      <dxf>
        <font>
          <sz val="11"/>
          <color rgb="FF000000"/>
          <name val="Calibri"/>
          <family val="2"/>
          <scheme val="none"/>
        </font>
      </dxf>
    </rfmt>
    <rfmt sheetId="5" sqref="P316" start="0" length="0">
      <dxf>
        <font>
          <sz val="11"/>
          <color rgb="FF000000"/>
          <name val="Calibri"/>
          <family val="2"/>
          <scheme val="none"/>
        </font>
      </dxf>
    </rfmt>
    <rfmt sheetId="5" sqref="P317" start="0" length="0">
      <dxf>
        <font>
          <sz val="11"/>
          <color rgb="FF000000"/>
          <name val="Calibri"/>
          <family val="2"/>
          <scheme val="none"/>
        </font>
      </dxf>
    </rfmt>
    <rfmt sheetId="5" sqref="P318" start="0" length="0">
      <dxf>
        <font>
          <sz val="11"/>
          <color rgb="FF000000"/>
          <name val="Calibri"/>
          <family val="2"/>
          <scheme val="none"/>
        </font>
      </dxf>
    </rfmt>
    <rfmt sheetId="5" sqref="P319" start="0" length="0">
      <dxf>
        <font>
          <sz val="11"/>
          <color rgb="FF000000"/>
          <name val="Calibri"/>
          <family val="2"/>
          <scheme val="none"/>
        </font>
      </dxf>
    </rfmt>
    <rfmt sheetId="5" sqref="P320" start="0" length="0">
      <dxf>
        <font>
          <sz val="11"/>
          <color rgb="FF000000"/>
          <name val="Calibri"/>
          <family val="2"/>
          <scheme val="none"/>
        </font>
      </dxf>
    </rfmt>
    <rfmt sheetId="5" sqref="P321" start="0" length="0">
      <dxf>
        <font>
          <sz val="11"/>
          <color rgb="FF000000"/>
          <name val="Calibri"/>
          <family val="2"/>
          <scheme val="none"/>
        </font>
      </dxf>
    </rfmt>
    <rfmt sheetId="5" sqref="P322" start="0" length="0">
      <dxf>
        <font>
          <sz val="11"/>
          <color rgb="FF000000"/>
          <name val="Calibri"/>
          <family val="2"/>
          <scheme val="none"/>
        </font>
      </dxf>
    </rfmt>
    <rfmt sheetId="5" sqref="P323" start="0" length="0">
      <dxf>
        <font>
          <sz val="11"/>
          <color rgb="FF000000"/>
          <name val="Calibri"/>
          <family val="2"/>
          <scheme val="none"/>
        </font>
      </dxf>
    </rfmt>
    <rfmt sheetId="5" sqref="P324" start="0" length="0">
      <dxf>
        <font>
          <sz val="11"/>
          <color rgb="FF000000"/>
          <name val="Calibri"/>
          <family val="2"/>
          <scheme val="none"/>
        </font>
      </dxf>
    </rfmt>
    <rfmt sheetId="5" sqref="P325" start="0" length="0">
      <dxf>
        <font>
          <sz val="11"/>
          <color rgb="FF000000"/>
          <name val="Calibri"/>
          <family val="2"/>
          <scheme val="none"/>
        </font>
      </dxf>
    </rfmt>
    <rfmt sheetId="5" sqref="P326" start="0" length="0">
      <dxf>
        <font>
          <sz val="11"/>
          <color rgb="FF000000"/>
          <name val="Calibri"/>
          <family val="2"/>
          <scheme val="none"/>
        </font>
      </dxf>
    </rfmt>
    <rfmt sheetId="5" sqref="P327" start="0" length="0">
      <dxf>
        <font>
          <sz val="11"/>
          <color rgb="FF000000"/>
          <name val="Calibri"/>
          <family val="2"/>
          <scheme val="none"/>
        </font>
      </dxf>
    </rfmt>
    <rfmt sheetId="5" sqref="P328" start="0" length="0">
      <dxf>
        <font>
          <sz val="11"/>
          <color rgb="FF000000"/>
          <name val="Calibri"/>
          <family val="2"/>
          <scheme val="none"/>
        </font>
      </dxf>
    </rfmt>
    <rfmt sheetId="5" sqref="P329" start="0" length="0">
      <dxf>
        <font>
          <sz val="11"/>
          <color rgb="FF000000"/>
          <name val="Calibri"/>
          <family val="2"/>
          <scheme val="none"/>
        </font>
      </dxf>
    </rfmt>
    <rfmt sheetId="5" sqref="P330" start="0" length="0">
      <dxf>
        <font>
          <sz val="11"/>
          <color rgb="FF000000"/>
          <name val="Calibri"/>
          <family val="2"/>
          <scheme val="none"/>
        </font>
      </dxf>
    </rfmt>
    <rfmt sheetId="5" sqref="P331" start="0" length="0">
      <dxf>
        <font>
          <sz val="11"/>
          <color rgb="FF000000"/>
          <name val="Calibri"/>
          <family val="2"/>
          <scheme val="none"/>
        </font>
      </dxf>
    </rfmt>
    <rfmt sheetId="5" sqref="P332" start="0" length="0">
      <dxf>
        <font>
          <sz val="11"/>
          <color rgb="FF000000"/>
          <name val="Calibri"/>
          <family val="2"/>
          <scheme val="none"/>
        </font>
      </dxf>
    </rfmt>
    <rfmt sheetId="5" sqref="P333" start="0" length="0">
      <dxf>
        <font>
          <sz val="11"/>
          <color rgb="FF000000"/>
          <name val="Calibri"/>
          <family val="2"/>
          <scheme val="none"/>
        </font>
      </dxf>
    </rfmt>
    <rfmt sheetId="5" sqref="P334" start="0" length="0">
      <dxf>
        <font>
          <sz val="11"/>
          <color rgb="FF000000"/>
          <name val="Calibri"/>
          <family val="2"/>
          <scheme val="none"/>
        </font>
      </dxf>
    </rfmt>
    <rfmt sheetId="5" sqref="P335" start="0" length="0">
      <dxf>
        <font>
          <sz val="11"/>
          <color rgb="FF000000"/>
          <name val="Calibri"/>
          <family val="2"/>
          <scheme val="none"/>
        </font>
      </dxf>
    </rfmt>
    <rfmt sheetId="5" sqref="P336" start="0" length="0">
      <dxf>
        <font>
          <sz val="11"/>
          <color rgb="FF000000"/>
          <name val="Calibri"/>
          <family val="2"/>
          <scheme val="none"/>
        </font>
      </dxf>
    </rfmt>
    <rfmt sheetId="5" sqref="P337" start="0" length="0">
      <dxf>
        <font>
          <sz val="11"/>
          <color rgb="FF000000"/>
          <name val="Calibri"/>
          <family val="2"/>
          <scheme val="none"/>
        </font>
      </dxf>
    </rfmt>
    <rfmt sheetId="5" sqref="P338" start="0" length="0">
      <dxf>
        <font>
          <sz val="11"/>
          <color rgb="FF000000"/>
          <name val="Calibri"/>
          <family val="2"/>
          <scheme val="none"/>
        </font>
      </dxf>
    </rfmt>
    <rfmt sheetId="5" sqref="P339" start="0" length="0">
      <dxf>
        <font>
          <sz val="11"/>
          <color rgb="FF000000"/>
          <name val="Calibri"/>
          <family val="2"/>
          <scheme val="none"/>
        </font>
      </dxf>
    </rfmt>
    <rfmt sheetId="5" sqref="P340" start="0" length="0">
      <dxf>
        <font>
          <sz val="11"/>
          <color rgb="FF000000"/>
          <name val="Calibri"/>
          <family val="2"/>
          <scheme val="none"/>
        </font>
      </dxf>
    </rfmt>
    <rfmt sheetId="5" sqref="P341" start="0" length="0">
      <dxf>
        <font>
          <sz val="11"/>
          <color rgb="FF000000"/>
          <name val="Calibri"/>
          <family val="2"/>
          <scheme val="none"/>
        </font>
      </dxf>
    </rfmt>
    <rfmt sheetId="5" sqref="P342" start="0" length="0">
      <dxf>
        <font>
          <sz val="11"/>
          <color rgb="FF000000"/>
          <name val="Calibri"/>
          <family val="2"/>
          <scheme val="none"/>
        </font>
      </dxf>
    </rfmt>
    <rfmt sheetId="5" sqref="P343" start="0" length="0">
      <dxf>
        <font>
          <sz val="11"/>
          <color rgb="FF000000"/>
          <name val="Calibri"/>
          <family val="2"/>
          <scheme val="none"/>
        </font>
      </dxf>
    </rfmt>
    <rfmt sheetId="5" sqref="P344" start="0" length="0">
      <dxf>
        <font>
          <sz val="11"/>
          <color rgb="FF000000"/>
          <name val="Calibri"/>
          <family val="2"/>
          <scheme val="none"/>
        </font>
      </dxf>
    </rfmt>
    <rfmt sheetId="5" sqref="P345" start="0" length="0">
      <dxf>
        <font>
          <sz val="11"/>
          <color rgb="FF000000"/>
          <name val="Calibri"/>
          <family val="2"/>
          <scheme val="none"/>
        </font>
      </dxf>
    </rfmt>
    <rfmt sheetId="5" sqref="P346" start="0" length="0">
      <dxf>
        <font>
          <sz val="11"/>
          <color rgb="FF000000"/>
          <name val="Calibri"/>
          <family val="2"/>
          <scheme val="none"/>
        </font>
      </dxf>
    </rfmt>
    <rfmt sheetId="5" sqref="P347" start="0" length="0">
      <dxf>
        <font>
          <sz val="11"/>
          <color rgb="FF000000"/>
          <name val="Calibri"/>
          <family val="2"/>
          <scheme val="none"/>
        </font>
      </dxf>
    </rfmt>
    <rfmt sheetId="5" sqref="P348" start="0" length="0">
      <dxf>
        <font>
          <sz val="11"/>
          <color rgb="FF000000"/>
          <name val="Calibri"/>
          <family val="2"/>
          <scheme val="none"/>
        </font>
      </dxf>
    </rfmt>
    <rfmt sheetId="5" sqref="P349" start="0" length="0">
      <dxf>
        <font>
          <sz val="11"/>
          <color rgb="FF000000"/>
          <name val="Calibri"/>
          <family val="2"/>
          <scheme val="none"/>
        </font>
      </dxf>
    </rfmt>
    <rfmt sheetId="5" sqref="P350" start="0" length="0">
      <dxf>
        <font>
          <sz val="11"/>
          <color rgb="FF000000"/>
          <name val="Calibri"/>
          <family val="2"/>
          <scheme val="none"/>
        </font>
      </dxf>
    </rfmt>
    <rfmt sheetId="5" sqref="P351" start="0" length="0">
      <dxf>
        <font>
          <sz val="11"/>
          <color rgb="FF000000"/>
          <name val="Calibri"/>
          <family val="2"/>
          <scheme val="none"/>
        </font>
      </dxf>
    </rfmt>
    <rfmt sheetId="5" sqref="P352" start="0" length="0">
      <dxf>
        <font>
          <sz val="11"/>
          <color rgb="FF000000"/>
          <name val="Calibri"/>
          <family val="2"/>
          <scheme val="none"/>
        </font>
      </dxf>
    </rfmt>
    <rfmt sheetId="5" sqref="P353" start="0" length="0">
      <dxf>
        <font>
          <sz val="11"/>
          <color rgb="FF000000"/>
          <name val="Calibri"/>
          <family val="2"/>
          <scheme val="none"/>
        </font>
      </dxf>
    </rfmt>
    <rfmt sheetId="5" sqref="P354" start="0" length="0">
      <dxf>
        <font>
          <sz val="11"/>
          <color rgb="FF000000"/>
          <name val="Calibri"/>
          <family val="2"/>
          <scheme val="none"/>
        </font>
      </dxf>
    </rfmt>
    <rfmt sheetId="5" sqref="P355" start="0" length="0">
      <dxf>
        <font>
          <sz val="11"/>
          <color rgb="FF000000"/>
          <name val="Calibri"/>
          <family val="2"/>
          <scheme val="none"/>
        </font>
      </dxf>
    </rfmt>
    <rfmt sheetId="5" sqref="P356" start="0" length="0">
      <dxf>
        <font>
          <sz val="11"/>
          <color rgb="FF000000"/>
          <name val="Calibri"/>
          <family val="2"/>
          <scheme val="none"/>
        </font>
      </dxf>
    </rfmt>
    <rfmt sheetId="5" sqref="P357" start="0" length="0">
      <dxf>
        <font>
          <sz val="11"/>
          <color rgb="FF000000"/>
          <name val="Calibri"/>
          <family val="2"/>
          <scheme val="none"/>
        </font>
      </dxf>
    </rfmt>
    <rfmt sheetId="5" sqref="P358" start="0" length="0">
      <dxf>
        <font>
          <sz val="11"/>
          <color rgb="FF000000"/>
          <name val="Calibri"/>
          <family val="2"/>
          <scheme val="none"/>
        </font>
      </dxf>
    </rfmt>
    <rfmt sheetId="5" sqref="P359" start="0" length="0">
      <dxf>
        <font>
          <sz val="11"/>
          <color rgb="FF000000"/>
          <name val="Calibri"/>
          <family val="2"/>
          <scheme val="none"/>
        </font>
      </dxf>
    </rfmt>
    <rfmt sheetId="5" sqref="P360" start="0" length="0">
      <dxf>
        <font>
          <sz val="11"/>
          <color rgb="FF000000"/>
          <name val="Calibri"/>
          <family val="2"/>
          <scheme val="none"/>
        </font>
      </dxf>
    </rfmt>
    <rfmt sheetId="5" sqref="P361" start="0" length="0">
      <dxf>
        <font>
          <sz val="11"/>
          <color rgb="FF000000"/>
          <name val="Calibri"/>
          <family val="2"/>
          <scheme val="none"/>
        </font>
      </dxf>
    </rfmt>
    <rfmt sheetId="5" sqref="P362" start="0" length="0">
      <dxf>
        <font>
          <sz val="11"/>
          <color rgb="FF000000"/>
          <name val="Calibri"/>
          <family val="2"/>
          <scheme val="none"/>
        </font>
      </dxf>
    </rfmt>
    <rfmt sheetId="5" sqref="P363" start="0" length="0">
      <dxf>
        <font>
          <sz val="11"/>
          <color rgb="FF000000"/>
          <name val="Calibri"/>
          <family val="2"/>
          <scheme val="none"/>
        </font>
      </dxf>
    </rfmt>
    <rfmt sheetId="5" sqref="P364" start="0" length="0">
      <dxf>
        <font>
          <sz val="11"/>
          <color rgb="FF000000"/>
          <name val="Calibri"/>
          <family val="2"/>
          <scheme val="none"/>
        </font>
      </dxf>
    </rfmt>
    <rfmt sheetId="5" sqref="P365" start="0" length="0">
      <dxf>
        <font>
          <sz val="11"/>
          <color rgb="FF000000"/>
          <name val="Calibri"/>
          <family val="2"/>
          <scheme val="none"/>
        </font>
      </dxf>
    </rfmt>
    <rfmt sheetId="5" sqref="P366" start="0" length="0">
      <dxf>
        <font>
          <sz val="11"/>
          <color rgb="FF000000"/>
          <name val="Calibri"/>
          <family val="2"/>
          <scheme val="none"/>
        </font>
      </dxf>
    </rfmt>
    <rfmt sheetId="5" sqref="P367" start="0" length="0">
      <dxf>
        <font>
          <sz val="11"/>
          <color rgb="FF000000"/>
          <name val="Calibri"/>
          <family val="2"/>
          <scheme val="none"/>
        </font>
      </dxf>
    </rfmt>
    <rfmt sheetId="5" sqref="P368" start="0" length="0">
      <dxf>
        <font>
          <sz val="11"/>
          <color rgb="FF000000"/>
          <name val="Calibri"/>
          <family val="2"/>
          <scheme val="none"/>
        </font>
      </dxf>
    </rfmt>
    <rfmt sheetId="5" sqref="P369" start="0" length="0">
      <dxf>
        <font>
          <sz val="11"/>
          <color rgb="FF000000"/>
          <name val="Calibri"/>
          <family val="2"/>
          <scheme val="none"/>
        </font>
      </dxf>
    </rfmt>
    <rfmt sheetId="5" sqref="P370" start="0" length="0">
      <dxf>
        <font>
          <sz val="11"/>
          <color rgb="FF000000"/>
          <name val="Calibri"/>
          <family val="2"/>
          <scheme val="none"/>
        </font>
      </dxf>
    </rfmt>
    <rfmt sheetId="5" sqref="P371" start="0" length="0">
      <dxf>
        <font>
          <sz val="11"/>
          <color rgb="FF000000"/>
          <name val="Calibri"/>
          <family val="2"/>
          <scheme val="none"/>
        </font>
      </dxf>
    </rfmt>
    <rfmt sheetId="5" sqref="P372" start="0" length="0">
      <dxf>
        <font>
          <sz val="11"/>
          <color rgb="FF000000"/>
          <name val="Calibri"/>
          <family val="2"/>
          <scheme val="none"/>
        </font>
      </dxf>
    </rfmt>
    <rfmt sheetId="5" sqref="P373" start="0" length="0">
      <dxf>
        <font>
          <sz val="11"/>
          <color rgb="FF000000"/>
          <name val="Calibri"/>
          <family val="2"/>
          <scheme val="none"/>
        </font>
      </dxf>
    </rfmt>
    <rfmt sheetId="5" sqref="P374" start="0" length="0">
      <dxf>
        <font>
          <sz val="11"/>
          <color rgb="FF000000"/>
          <name val="Calibri"/>
          <family val="2"/>
          <scheme val="none"/>
        </font>
      </dxf>
    </rfmt>
    <rfmt sheetId="5" sqref="P375" start="0" length="0">
      <dxf>
        <font>
          <sz val="11"/>
          <color rgb="FF000000"/>
          <name val="Calibri"/>
          <family val="2"/>
          <scheme val="none"/>
        </font>
      </dxf>
    </rfmt>
    <rfmt sheetId="5" sqref="P376" start="0" length="0">
      <dxf>
        <font>
          <sz val="11"/>
          <color rgb="FF000000"/>
          <name val="Calibri"/>
          <family val="2"/>
          <scheme val="none"/>
        </font>
      </dxf>
    </rfmt>
    <rfmt sheetId="5" sqref="P377" start="0" length="0">
      <dxf>
        <font>
          <sz val="11"/>
          <color rgb="FF000000"/>
          <name val="Calibri"/>
          <family val="2"/>
          <scheme val="none"/>
        </font>
      </dxf>
    </rfmt>
    <rfmt sheetId="5" sqref="P378" start="0" length="0">
      <dxf>
        <font>
          <sz val="11"/>
          <color rgb="FF000000"/>
          <name val="Calibri"/>
          <family val="2"/>
          <scheme val="none"/>
        </font>
      </dxf>
    </rfmt>
    <rfmt sheetId="5" sqref="P379" start="0" length="0">
      <dxf>
        <font>
          <sz val="11"/>
          <color rgb="FF000000"/>
          <name val="Calibri"/>
          <family val="2"/>
          <scheme val="none"/>
        </font>
      </dxf>
    </rfmt>
    <rfmt sheetId="5" sqref="P380" start="0" length="0">
      <dxf>
        <font>
          <sz val="11"/>
          <color rgb="FF000000"/>
          <name val="Calibri"/>
          <family val="2"/>
          <scheme val="none"/>
        </font>
      </dxf>
    </rfmt>
    <rfmt sheetId="5" sqref="P381" start="0" length="0">
      <dxf>
        <font>
          <sz val="11"/>
          <color rgb="FF000000"/>
          <name val="Calibri"/>
          <family val="2"/>
          <scheme val="none"/>
        </font>
      </dxf>
    </rfmt>
    <rfmt sheetId="5" sqref="P382" start="0" length="0">
      <dxf>
        <font>
          <sz val="11"/>
          <color rgb="FF000000"/>
          <name val="Calibri"/>
          <family val="2"/>
          <scheme val="none"/>
        </font>
      </dxf>
    </rfmt>
    <rfmt sheetId="5" sqref="P383" start="0" length="0">
      <dxf>
        <font>
          <sz val="11"/>
          <color rgb="FF000000"/>
          <name val="Calibri"/>
          <family val="2"/>
          <scheme val="none"/>
        </font>
      </dxf>
    </rfmt>
    <rfmt sheetId="5" sqref="P384" start="0" length="0">
      <dxf>
        <font>
          <sz val="11"/>
          <color rgb="FF000000"/>
          <name val="Calibri"/>
          <family val="2"/>
          <scheme val="none"/>
        </font>
      </dxf>
    </rfmt>
    <rfmt sheetId="5" sqref="P385" start="0" length="0">
      <dxf>
        <font>
          <sz val="11"/>
          <color rgb="FF000000"/>
          <name val="Calibri"/>
          <family val="2"/>
          <scheme val="none"/>
        </font>
      </dxf>
    </rfmt>
    <rfmt sheetId="5" sqref="P386" start="0" length="0">
      <dxf>
        <font>
          <sz val="11"/>
          <color rgb="FF000000"/>
          <name val="Calibri"/>
          <family val="2"/>
          <scheme val="none"/>
        </font>
      </dxf>
    </rfmt>
    <rfmt sheetId="5" sqref="P387" start="0" length="0">
      <dxf>
        <font>
          <sz val="11"/>
          <color rgb="FF000000"/>
          <name val="Calibri"/>
          <family val="2"/>
          <scheme val="none"/>
        </font>
      </dxf>
    </rfmt>
    <rfmt sheetId="5" sqref="P388" start="0" length="0">
      <dxf>
        <font>
          <sz val="11"/>
          <color rgb="FF000000"/>
          <name val="Calibri"/>
          <family val="2"/>
          <scheme val="none"/>
        </font>
      </dxf>
    </rfmt>
    <rfmt sheetId="5" sqref="P389" start="0" length="0">
      <dxf>
        <font>
          <sz val="11"/>
          <color rgb="FF000000"/>
          <name val="Calibri"/>
          <family val="2"/>
          <scheme val="none"/>
        </font>
      </dxf>
    </rfmt>
    <rfmt sheetId="5" sqref="P390" start="0" length="0">
      <dxf>
        <font>
          <sz val="11"/>
          <color rgb="FF000000"/>
          <name val="Calibri"/>
          <family val="2"/>
          <scheme val="none"/>
        </font>
      </dxf>
    </rfmt>
    <rfmt sheetId="5" sqref="P391" start="0" length="0">
      <dxf>
        <font>
          <sz val="11"/>
          <color rgb="FF000000"/>
          <name val="Calibri"/>
          <family val="2"/>
          <scheme val="none"/>
        </font>
      </dxf>
    </rfmt>
    <rfmt sheetId="5" sqref="P392" start="0" length="0">
      <dxf>
        <font>
          <sz val="11"/>
          <color rgb="FF000000"/>
          <name val="Calibri"/>
          <family val="2"/>
          <scheme val="none"/>
        </font>
      </dxf>
    </rfmt>
    <rfmt sheetId="5" sqref="P393" start="0" length="0">
      <dxf>
        <font>
          <sz val="11"/>
          <color rgb="FF000000"/>
          <name val="Calibri"/>
          <family val="2"/>
          <scheme val="none"/>
        </font>
      </dxf>
    </rfmt>
    <rfmt sheetId="5" sqref="P394" start="0" length="0">
      <dxf>
        <font>
          <sz val="11"/>
          <color rgb="FF000000"/>
          <name val="Calibri"/>
          <family val="2"/>
          <scheme val="none"/>
        </font>
      </dxf>
    </rfmt>
    <rfmt sheetId="5" sqref="P395" start="0" length="0">
      <dxf>
        <font>
          <sz val="11"/>
          <color rgb="FF000000"/>
          <name val="Calibri"/>
          <family val="2"/>
          <scheme val="none"/>
        </font>
      </dxf>
    </rfmt>
    <rfmt sheetId="5" sqref="P396" start="0" length="0">
      <dxf>
        <font>
          <sz val="11"/>
          <color rgb="FF000000"/>
          <name val="Calibri"/>
          <family val="2"/>
          <scheme val="none"/>
        </font>
      </dxf>
    </rfmt>
    <rfmt sheetId="5" sqref="P397" start="0" length="0">
      <dxf>
        <font>
          <sz val="11"/>
          <color rgb="FF000000"/>
          <name val="Calibri"/>
          <family val="2"/>
          <scheme val="none"/>
        </font>
      </dxf>
    </rfmt>
    <rfmt sheetId="5" sqref="P398" start="0" length="0">
      <dxf>
        <font>
          <sz val="11"/>
          <color rgb="FF000000"/>
          <name val="Calibri"/>
          <family val="2"/>
          <scheme val="none"/>
        </font>
      </dxf>
    </rfmt>
    <rfmt sheetId="5" sqref="P399" start="0" length="0">
      <dxf>
        <font>
          <sz val="11"/>
          <color rgb="FF000000"/>
          <name val="Calibri"/>
          <family val="2"/>
          <scheme val="none"/>
        </font>
      </dxf>
    </rfmt>
    <rfmt sheetId="5" sqref="P400" start="0" length="0">
      <dxf>
        <font>
          <sz val="11"/>
          <color rgb="FF000000"/>
          <name val="Calibri"/>
          <family val="2"/>
          <scheme val="none"/>
        </font>
      </dxf>
    </rfmt>
    <rfmt sheetId="5" sqref="P401" start="0" length="0">
      <dxf>
        <font>
          <sz val="11"/>
          <color rgb="FF000000"/>
          <name val="Calibri"/>
          <family val="2"/>
          <scheme val="none"/>
        </font>
      </dxf>
    </rfmt>
    <rfmt sheetId="5" sqref="P402" start="0" length="0">
      <dxf>
        <font>
          <sz val="11"/>
          <color rgb="FF000000"/>
          <name val="Calibri"/>
          <family val="2"/>
          <scheme val="none"/>
        </font>
      </dxf>
    </rfmt>
    <rfmt sheetId="5" sqref="P403" start="0" length="0">
      <dxf>
        <font>
          <sz val="11"/>
          <color rgb="FF000000"/>
          <name val="Calibri"/>
          <family val="2"/>
          <scheme val="none"/>
        </font>
      </dxf>
    </rfmt>
    <rfmt sheetId="5" sqref="P404" start="0" length="0">
      <dxf>
        <font>
          <sz val="11"/>
          <color rgb="FF000000"/>
          <name val="Calibri"/>
          <family val="2"/>
          <scheme val="none"/>
        </font>
      </dxf>
    </rfmt>
    <rfmt sheetId="5" sqref="P405" start="0" length="0">
      <dxf>
        <font>
          <sz val="11"/>
          <color rgb="FF000000"/>
          <name val="Calibri"/>
          <family val="2"/>
          <scheme val="none"/>
        </font>
      </dxf>
    </rfmt>
    <rfmt sheetId="5" sqref="P406" start="0" length="0">
      <dxf>
        <font>
          <sz val="11"/>
          <color rgb="FF000000"/>
          <name val="Calibri"/>
          <family val="2"/>
          <scheme val="none"/>
        </font>
      </dxf>
    </rfmt>
    <rfmt sheetId="5" sqref="P407" start="0" length="0">
      <dxf>
        <font>
          <sz val="11"/>
          <color rgb="FF000000"/>
          <name val="Calibri"/>
          <family val="2"/>
          <scheme val="none"/>
        </font>
      </dxf>
    </rfmt>
    <rfmt sheetId="5" sqref="P408" start="0" length="0">
      <dxf>
        <font>
          <sz val="11"/>
          <color rgb="FF000000"/>
          <name val="Calibri"/>
          <family val="2"/>
          <scheme val="none"/>
        </font>
      </dxf>
    </rfmt>
    <rfmt sheetId="5" sqref="P409" start="0" length="0">
      <dxf>
        <font>
          <sz val="11"/>
          <color rgb="FF000000"/>
          <name val="Calibri"/>
          <family val="2"/>
          <scheme val="none"/>
        </font>
      </dxf>
    </rfmt>
    <rfmt sheetId="5" sqref="P410" start="0" length="0">
      <dxf>
        <font>
          <sz val="11"/>
          <color rgb="FF000000"/>
          <name val="Calibri"/>
          <family val="2"/>
          <scheme val="none"/>
        </font>
      </dxf>
    </rfmt>
    <rfmt sheetId="5" sqref="P411" start="0" length="0">
      <dxf>
        <font>
          <sz val="11"/>
          <color rgb="FF000000"/>
          <name val="Calibri"/>
          <family val="2"/>
          <scheme val="none"/>
        </font>
      </dxf>
    </rfmt>
    <rfmt sheetId="5" sqref="P412" start="0" length="0">
      <dxf>
        <font>
          <sz val="11"/>
          <color rgb="FF000000"/>
          <name val="Calibri"/>
          <family val="2"/>
          <scheme val="none"/>
        </font>
      </dxf>
    </rfmt>
    <rfmt sheetId="5" sqref="P413" start="0" length="0">
      <dxf>
        <font>
          <sz val="11"/>
          <color rgb="FF000000"/>
          <name val="Calibri"/>
          <family val="2"/>
          <scheme val="none"/>
        </font>
      </dxf>
    </rfmt>
    <rfmt sheetId="5" sqref="P414" start="0" length="0">
      <dxf>
        <font>
          <sz val="11"/>
          <color rgb="FF000000"/>
          <name val="Calibri"/>
          <family val="2"/>
          <scheme val="none"/>
        </font>
      </dxf>
    </rfmt>
    <rfmt sheetId="5" sqref="P415" start="0" length="0">
      <dxf>
        <font>
          <sz val="11"/>
          <color rgb="FF000000"/>
          <name val="Calibri"/>
          <family val="2"/>
          <scheme val="none"/>
        </font>
      </dxf>
    </rfmt>
    <rfmt sheetId="5" sqref="P416" start="0" length="0">
      <dxf>
        <font>
          <sz val="11"/>
          <color rgb="FF000000"/>
          <name val="Calibri"/>
          <family val="2"/>
          <scheme val="none"/>
        </font>
      </dxf>
    </rfmt>
    <rfmt sheetId="5" sqref="P417" start="0" length="0">
      <dxf>
        <font>
          <sz val="11"/>
          <color rgb="FF000000"/>
          <name val="Calibri"/>
          <family val="2"/>
          <scheme val="none"/>
        </font>
      </dxf>
    </rfmt>
    <rfmt sheetId="5" sqref="P418" start="0" length="0">
      <dxf>
        <font>
          <sz val="11"/>
          <color rgb="FF000000"/>
          <name val="Calibri"/>
          <family val="2"/>
          <scheme val="none"/>
        </font>
      </dxf>
    </rfmt>
    <rfmt sheetId="5" sqref="P419" start="0" length="0">
      <dxf>
        <font>
          <sz val="11"/>
          <color rgb="FF000000"/>
          <name val="Calibri"/>
          <family val="2"/>
          <scheme val="none"/>
        </font>
      </dxf>
    </rfmt>
    <rfmt sheetId="5" sqref="P420" start="0" length="0">
      <dxf>
        <font>
          <sz val="11"/>
          <color rgb="FF000000"/>
          <name val="Calibri"/>
          <family val="2"/>
          <scheme val="none"/>
        </font>
      </dxf>
    </rfmt>
    <rfmt sheetId="5" sqref="P421" start="0" length="0">
      <dxf>
        <font>
          <sz val="11"/>
          <color rgb="FF000000"/>
          <name val="Calibri"/>
          <family val="2"/>
          <scheme val="none"/>
        </font>
      </dxf>
    </rfmt>
    <rfmt sheetId="5" sqref="P422" start="0" length="0">
      <dxf>
        <font>
          <sz val="11"/>
          <color rgb="FF000000"/>
          <name val="Calibri"/>
          <family val="2"/>
          <scheme val="none"/>
        </font>
      </dxf>
    </rfmt>
    <rfmt sheetId="5" sqref="P423" start="0" length="0">
      <dxf>
        <font>
          <sz val="11"/>
          <color rgb="FF000000"/>
          <name val="Calibri"/>
          <family val="2"/>
          <scheme val="none"/>
        </font>
      </dxf>
    </rfmt>
    <rfmt sheetId="5" sqref="P424" start="0" length="0">
      <dxf>
        <font>
          <sz val="11"/>
          <color rgb="FF000000"/>
          <name val="Calibri"/>
          <family val="2"/>
          <scheme val="none"/>
        </font>
      </dxf>
    </rfmt>
    <rfmt sheetId="5" sqref="P425" start="0" length="0">
      <dxf>
        <font>
          <sz val="11"/>
          <color rgb="FF000000"/>
          <name val="Calibri"/>
          <family val="2"/>
          <scheme val="none"/>
        </font>
      </dxf>
    </rfmt>
    <rfmt sheetId="5" sqref="P426" start="0" length="0">
      <dxf>
        <font>
          <sz val="11"/>
          <color rgb="FF000000"/>
          <name val="Calibri"/>
          <family val="2"/>
          <scheme val="none"/>
        </font>
      </dxf>
    </rfmt>
    <rfmt sheetId="5" sqref="P427" start="0" length="0">
      <dxf>
        <font>
          <sz val="11"/>
          <color rgb="FF000000"/>
          <name val="Calibri"/>
          <family val="2"/>
          <scheme val="none"/>
        </font>
      </dxf>
    </rfmt>
    <rfmt sheetId="5" sqref="P428" start="0" length="0">
      <dxf>
        <font>
          <sz val="11"/>
          <color rgb="FF000000"/>
          <name val="Calibri"/>
          <family val="2"/>
          <scheme val="none"/>
        </font>
      </dxf>
    </rfmt>
    <rfmt sheetId="5" sqref="P429" start="0" length="0">
      <dxf>
        <font>
          <sz val="11"/>
          <color rgb="FF000000"/>
          <name val="Calibri"/>
          <family val="2"/>
          <scheme val="none"/>
        </font>
      </dxf>
    </rfmt>
    <rfmt sheetId="5" sqref="P430" start="0" length="0">
      <dxf>
        <font>
          <sz val="11"/>
          <color rgb="FF000000"/>
          <name val="Calibri"/>
          <family val="2"/>
          <scheme val="none"/>
        </font>
      </dxf>
    </rfmt>
    <rfmt sheetId="5" sqref="P431" start="0" length="0">
      <dxf>
        <font>
          <sz val="11"/>
          <color rgb="FF000000"/>
          <name val="Calibri"/>
          <family val="2"/>
          <scheme val="none"/>
        </font>
      </dxf>
    </rfmt>
    <rfmt sheetId="5" sqref="P432" start="0" length="0">
      <dxf>
        <font>
          <sz val="11"/>
          <color rgb="FF000000"/>
          <name val="Calibri"/>
          <family val="2"/>
          <scheme val="none"/>
        </font>
      </dxf>
    </rfmt>
    <rfmt sheetId="5" sqref="P433" start="0" length="0">
      <dxf>
        <font>
          <sz val="11"/>
          <color rgb="FF000000"/>
          <name val="Calibri"/>
          <family val="2"/>
          <scheme val="none"/>
        </font>
      </dxf>
    </rfmt>
    <rfmt sheetId="5" sqref="P434" start="0" length="0">
      <dxf>
        <font>
          <sz val="11"/>
          <color rgb="FF000000"/>
          <name val="Calibri"/>
          <family val="2"/>
          <scheme val="none"/>
        </font>
      </dxf>
    </rfmt>
    <rfmt sheetId="5" sqref="P435" start="0" length="0">
      <dxf>
        <font>
          <sz val="11"/>
          <color rgb="FF000000"/>
          <name val="Calibri"/>
          <family val="2"/>
          <scheme val="none"/>
        </font>
      </dxf>
    </rfmt>
    <rfmt sheetId="5" sqref="P436" start="0" length="0">
      <dxf>
        <font>
          <sz val="11"/>
          <color rgb="FF000000"/>
          <name val="Calibri"/>
          <family val="2"/>
          <scheme val="none"/>
        </font>
      </dxf>
    </rfmt>
    <rfmt sheetId="5" sqref="P437" start="0" length="0">
      <dxf>
        <font>
          <sz val="11"/>
          <color rgb="FF000000"/>
          <name val="Calibri"/>
          <family val="2"/>
          <scheme val="none"/>
        </font>
      </dxf>
    </rfmt>
    <rfmt sheetId="5" sqref="P438" start="0" length="0">
      <dxf>
        <font>
          <sz val="11"/>
          <color rgb="FF000000"/>
          <name val="Calibri"/>
          <family val="2"/>
          <scheme val="none"/>
        </font>
      </dxf>
    </rfmt>
    <rfmt sheetId="5" sqref="P439" start="0" length="0">
      <dxf>
        <font>
          <sz val="11"/>
          <color rgb="FF000000"/>
          <name val="Calibri"/>
          <family val="2"/>
          <scheme val="none"/>
        </font>
      </dxf>
    </rfmt>
    <rfmt sheetId="5" sqref="P440" start="0" length="0">
      <dxf>
        <font>
          <sz val="11"/>
          <color rgb="FF000000"/>
          <name val="Calibri"/>
          <family val="2"/>
          <scheme val="none"/>
        </font>
      </dxf>
    </rfmt>
    <rfmt sheetId="5" sqref="P441" start="0" length="0">
      <dxf>
        <font>
          <sz val="11"/>
          <color rgb="FF000000"/>
          <name val="Calibri"/>
          <family val="2"/>
          <scheme val="none"/>
        </font>
      </dxf>
    </rfmt>
    <rfmt sheetId="5" sqref="P442" start="0" length="0">
      <dxf>
        <font>
          <sz val="11"/>
          <color rgb="FF000000"/>
          <name val="Calibri"/>
          <family val="2"/>
          <scheme val="none"/>
        </font>
      </dxf>
    </rfmt>
    <rfmt sheetId="5" sqref="P443" start="0" length="0">
      <dxf>
        <font>
          <sz val="11"/>
          <color rgb="FF000000"/>
          <name val="Calibri"/>
          <family val="2"/>
          <scheme val="none"/>
        </font>
      </dxf>
    </rfmt>
    <rfmt sheetId="5" sqref="P444" start="0" length="0">
      <dxf>
        <font>
          <sz val="11"/>
          <color rgb="FF000000"/>
          <name val="Calibri"/>
          <family val="2"/>
          <scheme val="none"/>
        </font>
      </dxf>
    </rfmt>
    <rfmt sheetId="5" sqref="P445" start="0" length="0">
      <dxf>
        <font>
          <sz val="11"/>
          <color rgb="FF000000"/>
          <name val="Calibri"/>
          <family val="2"/>
          <scheme val="none"/>
        </font>
      </dxf>
    </rfmt>
    <rfmt sheetId="5" sqref="P446" start="0" length="0">
      <dxf>
        <font>
          <sz val="11"/>
          <color rgb="FF000000"/>
          <name val="Calibri"/>
          <family val="2"/>
          <scheme val="none"/>
        </font>
      </dxf>
    </rfmt>
    <rfmt sheetId="5" sqref="P447" start="0" length="0">
      <dxf>
        <font>
          <sz val="11"/>
          <color rgb="FF000000"/>
          <name val="Calibri"/>
          <family val="2"/>
          <scheme val="none"/>
        </font>
      </dxf>
    </rfmt>
    <rfmt sheetId="5" sqref="P448" start="0" length="0">
      <dxf>
        <font>
          <sz val="11"/>
          <color rgb="FF000000"/>
          <name val="Calibri"/>
          <family val="2"/>
          <scheme val="none"/>
        </font>
      </dxf>
    </rfmt>
    <rfmt sheetId="5" sqref="P449" start="0" length="0">
      <dxf>
        <font>
          <sz val="11"/>
          <color rgb="FF000000"/>
          <name val="Calibri"/>
          <family val="2"/>
          <scheme val="none"/>
        </font>
      </dxf>
    </rfmt>
    <rfmt sheetId="5" sqref="P450" start="0" length="0">
      <dxf>
        <font>
          <sz val="11"/>
          <color rgb="FF000000"/>
          <name val="Calibri"/>
          <family val="2"/>
          <scheme val="none"/>
        </font>
      </dxf>
    </rfmt>
    <rfmt sheetId="5" sqref="P451" start="0" length="0">
      <dxf>
        <font>
          <sz val="11"/>
          <color rgb="FF000000"/>
          <name val="Calibri"/>
          <family val="2"/>
          <scheme val="none"/>
        </font>
      </dxf>
    </rfmt>
    <rfmt sheetId="5" sqref="P452" start="0" length="0">
      <dxf>
        <font>
          <sz val="11"/>
          <color rgb="FF000000"/>
          <name val="Calibri"/>
          <family val="2"/>
          <scheme val="none"/>
        </font>
      </dxf>
    </rfmt>
    <rfmt sheetId="5" sqref="P453" start="0" length="0">
      <dxf>
        <font>
          <sz val="11"/>
          <color rgb="FF000000"/>
          <name val="Calibri"/>
          <family val="2"/>
          <scheme val="none"/>
        </font>
      </dxf>
    </rfmt>
    <rfmt sheetId="5" sqref="P454" start="0" length="0">
      <dxf>
        <font>
          <sz val="11"/>
          <color rgb="FF000000"/>
          <name val="Calibri"/>
          <family val="2"/>
          <scheme val="none"/>
        </font>
      </dxf>
    </rfmt>
    <rfmt sheetId="5" sqref="P455" start="0" length="0">
      <dxf>
        <font>
          <sz val="11"/>
          <color rgb="FF000000"/>
          <name val="Calibri"/>
          <family val="2"/>
          <scheme val="none"/>
        </font>
      </dxf>
    </rfmt>
    <rfmt sheetId="5" sqref="P456" start="0" length="0">
      <dxf>
        <font>
          <sz val="11"/>
          <color rgb="FF000000"/>
          <name val="Calibri"/>
          <family val="2"/>
          <scheme val="none"/>
        </font>
      </dxf>
    </rfmt>
    <rfmt sheetId="5" sqref="P457" start="0" length="0">
      <dxf>
        <font>
          <sz val="11"/>
          <color rgb="FF000000"/>
          <name val="Calibri"/>
          <family val="2"/>
          <scheme val="none"/>
        </font>
      </dxf>
    </rfmt>
    <rfmt sheetId="5" sqref="P458" start="0" length="0">
      <dxf>
        <font>
          <sz val="11"/>
          <color rgb="FF000000"/>
          <name val="Calibri"/>
          <family val="2"/>
          <scheme val="none"/>
        </font>
      </dxf>
    </rfmt>
    <rfmt sheetId="5" sqref="P459" start="0" length="0">
      <dxf>
        <font>
          <sz val="11"/>
          <color rgb="FF000000"/>
          <name val="Calibri"/>
          <family val="2"/>
          <scheme val="none"/>
        </font>
      </dxf>
    </rfmt>
    <rfmt sheetId="5" sqref="P460" start="0" length="0">
      <dxf>
        <font>
          <sz val="11"/>
          <color rgb="FF000000"/>
          <name val="Calibri"/>
          <family val="2"/>
          <scheme val="none"/>
        </font>
      </dxf>
    </rfmt>
    <rfmt sheetId="5" sqref="P461" start="0" length="0">
      <dxf>
        <font>
          <sz val="11"/>
          <color rgb="FF000000"/>
          <name val="Calibri"/>
          <family val="2"/>
          <scheme val="none"/>
        </font>
      </dxf>
    </rfmt>
    <rfmt sheetId="5" sqref="P462" start="0" length="0">
      <dxf>
        <font>
          <sz val="11"/>
          <color rgb="FF000000"/>
          <name val="Calibri"/>
          <family val="2"/>
          <scheme val="none"/>
        </font>
      </dxf>
    </rfmt>
    <rfmt sheetId="5" sqref="P463" start="0" length="0">
      <dxf>
        <font>
          <sz val="11"/>
          <color rgb="FF000000"/>
          <name val="Calibri"/>
          <family val="2"/>
          <scheme val="none"/>
        </font>
      </dxf>
    </rfmt>
    <rfmt sheetId="5" sqref="P464" start="0" length="0">
      <dxf>
        <font>
          <sz val="11"/>
          <color rgb="FF000000"/>
          <name val="Calibri"/>
          <family val="2"/>
          <scheme val="none"/>
        </font>
      </dxf>
    </rfmt>
    <rfmt sheetId="5" sqref="P465" start="0" length="0">
      <dxf>
        <font>
          <sz val="11"/>
          <color rgb="FF000000"/>
          <name val="Calibri"/>
          <family val="2"/>
          <scheme val="none"/>
        </font>
      </dxf>
    </rfmt>
    <rfmt sheetId="5" sqref="P466" start="0" length="0">
      <dxf>
        <font>
          <sz val="11"/>
          <color rgb="FF000000"/>
          <name val="Calibri"/>
          <family val="2"/>
          <scheme val="none"/>
        </font>
      </dxf>
    </rfmt>
    <rfmt sheetId="5" sqref="P467" start="0" length="0">
      <dxf>
        <font>
          <sz val="11"/>
          <color rgb="FF000000"/>
          <name val="Calibri"/>
          <family val="2"/>
          <scheme val="none"/>
        </font>
      </dxf>
    </rfmt>
    <rfmt sheetId="5" sqref="P468" start="0" length="0">
      <dxf>
        <font>
          <sz val="11"/>
          <color rgb="FF000000"/>
          <name val="Calibri"/>
          <family val="2"/>
          <scheme val="none"/>
        </font>
      </dxf>
    </rfmt>
    <rfmt sheetId="5" sqref="P469" start="0" length="0">
      <dxf>
        <font>
          <sz val="11"/>
          <color rgb="FF000000"/>
          <name val="Calibri"/>
          <family val="2"/>
          <scheme val="none"/>
        </font>
      </dxf>
    </rfmt>
    <rfmt sheetId="5" sqref="P470" start="0" length="0">
      <dxf>
        <font>
          <sz val="11"/>
          <color rgb="FF000000"/>
          <name val="Calibri"/>
          <family val="2"/>
          <scheme val="none"/>
        </font>
      </dxf>
    </rfmt>
    <rfmt sheetId="5" sqref="P471" start="0" length="0">
      <dxf>
        <font>
          <sz val="11"/>
          <color rgb="FF000000"/>
          <name val="Calibri"/>
          <family val="2"/>
          <scheme val="none"/>
        </font>
      </dxf>
    </rfmt>
    <rfmt sheetId="5" sqref="P472" start="0" length="0">
      <dxf>
        <font>
          <sz val="11"/>
          <color rgb="FF000000"/>
          <name val="Calibri"/>
          <family val="2"/>
          <scheme val="none"/>
        </font>
      </dxf>
    </rfmt>
    <rfmt sheetId="5" sqref="P473" start="0" length="0">
      <dxf>
        <font>
          <sz val="11"/>
          <color rgb="FF000000"/>
          <name val="Calibri"/>
          <family val="2"/>
          <scheme val="none"/>
        </font>
      </dxf>
    </rfmt>
    <rfmt sheetId="5" sqref="P474" start="0" length="0">
      <dxf>
        <font>
          <sz val="11"/>
          <color rgb="FF000000"/>
          <name val="Calibri"/>
          <family val="2"/>
          <scheme val="none"/>
        </font>
      </dxf>
    </rfmt>
    <rfmt sheetId="5" sqref="P475" start="0" length="0">
      <dxf>
        <font>
          <sz val="11"/>
          <color rgb="FF000000"/>
          <name val="Calibri"/>
          <family val="2"/>
          <scheme val="none"/>
        </font>
      </dxf>
    </rfmt>
    <rfmt sheetId="5" sqref="P476" start="0" length="0">
      <dxf>
        <font>
          <sz val="11"/>
          <color rgb="FF000000"/>
          <name val="Calibri"/>
          <family val="2"/>
          <scheme val="none"/>
        </font>
      </dxf>
    </rfmt>
    <rfmt sheetId="5" sqref="P477" start="0" length="0">
      <dxf>
        <font>
          <sz val="11"/>
          <color rgb="FF000000"/>
          <name val="Calibri"/>
          <family val="2"/>
          <scheme val="none"/>
        </font>
      </dxf>
    </rfmt>
    <rfmt sheetId="5" sqref="P478" start="0" length="0">
      <dxf>
        <font>
          <sz val="11"/>
          <color rgb="FF000000"/>
          <name val="Calibri"/>
          <family val="2"/>
          <scheme val="none"/>
        </font>
      </dxf>
    </rfmt>
    <rfmt sheetId="5" sqref="P479" start="0" length="0">
      <dxf>
        <font>
          <sz val="11"/>
          <color rgb="FF000000"/>
          <name val="Calibri"/>
          <family val="2"/>
          <scheme val="none"/>
        </font>
      </dxf>
    </rfmt>
    <rfmt sheetId="5" sqref="P480" start="0" length="0">
      <dxf>
        <font>
          <sz val="11"/>
          <color rgb="FF000000"/>
          <name val="Calibri"/>
          <family val="2"/>
          <scheme val="none"/>
        </font>
      </dxf>
    </rfmt>
    <rfmt sheetId="5" sqref="P481" start="0" length="0">
      <dxf>
        <font>
          <sz val="11"/>
          <color rgb="FF000000"/>
          <name val="Calibri"/>
          <family val="2"/>
          <scheme val="none"/>
        </font>
      </dxf>
    </rfmt>
    <rfmt sheetId="5" sqref="P482" start="0" length="0">
      <dxf>
        <font>
          <sz val="11"/>
          <color rgb="FF000000"/>
          <name val="Calibri"/>
          <family val="2"/>
          <scheme val="none"/>
        </font>
      </dxf>
    </rfmt>
    <rfmt sheetId="5" sqref="P483" start="0" length="0">
      <dxf>
        <font>
          <sz val="11"/>
          <color rgb="FF000000"/>
          <name val="Calibri"/>
          <family val="2"/>
          <scheme val="none"/>
        </font>
      </dxf>
    </rfmt>
    <rfmt sheetId="5" sqref="P484" start="0" length="0">
      <dxf>
        <font>
          <sz val="11"/>
          <color rgb="FF000000"/>
          <name val="Calibri"/>
          <family val="2"/>
          <scheme val="none"/>
        </font>
      </dxf>
    </rfmt>
    <rfmt sheetId="5" sqref="P485" start="0" length="0">
      <dxf>
        <font>
          <sz val="11"/>
          <color rgb="FF000000"/>
          <name val="Calibri"/>
          <family val="2"/>
          <scheme val="none"/>
        </font>
      </dxf>
    </rfmt>
    <rfmt sheetId="5" sqref="P486" start="0" length="0">
      <dxf>
        <font>
          <sz val="11"/>
          <color rgb="FF000000"/>
          <name val="Calibri"/>
          <family val="2"/>
          <scheme val="none"/>
        </font>
      </dxf>
    </rfmt>
    <rfmt sheetId="5" sqref="P487" start="0" length="0">
      <dxf>
        <font>
          <sz val="11"/>
          <color rgb="FF000000"/>
          <name val="Calibri"/>
          <family val="2"/>
          <scheme val="none"/>
        </font>
      </dxf>
    </rfmt>
    <rfmt sheetId="5" sqref="P488" start="0" length="0">
      <dxf>
        <font>
          <sz val="11"/>
          <color rgb="FF000000"/>
          <name val="Calibri"/>
          <family val="2"/>
          <scheme val="none"/>
        </font>
      </dxf>
    </rfmt>
    <rfmt sheetId="5" sqref="P489" start="0" length="0">
      <dxf>
        <font>
          <sz val="11"/>
          <color rgb="FF000000"/>
          <name val="Calibri"/>
          <family val="2"/>
          <scheme val="none"/>
        </font>
      </dxf>
    </rfmt>
    <rfmt sheetId="5" sqref="P490" start="0" length="0">
      <dxf>
        <font>
          <sz val="11"/>
          <color rgb="FF000000"/>
          <name val="Calibri"/>
          <family val="2"/>
          <scheme val="none"/>
        </font>
      </dxf>
    </rfmt>
    <rfmt sheetId="5" sqref="P491" start="0" length="0">
      <dxf>
        <font>
          <sz val="11"/>
          <color rgb="FF000000"/>
          <name val="Calibri"/>
          <family val="2"/>
          <scheme val="none"/>
        </font>
      </dxf>
    </rfmt>
    <rfmt sheetId="5" sqref="P492" start="0" length="0">
      <dxf>
        <font>
          <sz val="11"/>
          <color rgb="FF000000"/>
          <name val="Calibri"/>
          <family val="2"/>
          <scheme val="none"/>
        </font>
      </dxf>
    </rfmt>
    <rfmt sheetId="5" sqref="P493" start="0" length="0">
      <dxf>
        <font>
          <sz val="11"/>
          <color rgb="FF000000"/>
          <name val="Calibri"/>
          <family val="2"/>
          <scheme val="none"/>
        </font>
      </dxf>
    </rfmt>
    <rfmt sheetId="5" sqref="P494" start="0" length="0">
      <dxf>
        <font>
          <sz val="11"/>
          <color rgb="FF000000"/>
          <name val="Calibri"/>
          <family val="2"/>
          <scheme val="none"/>
        </font>
      </dxf>
    </rfmt>
    <rfmt sheetId="5" sqref="P495" start="0" length="0">
      <dxf>
        <font>
          <sz val="11"/>
          <color rgb="FF000000"/>
          <name val="Calibri"/>
          <family val="2"/>
          <scheme val="none"/>
        </font>
      </dxf>
    </rfmt>
    <rfmt sheetId="5" sqref="P496" start="0" length="0">
      <dxf>
        <font>
          <sz val="11"/>
          <color rgb="FF000000"/>
          <name val="Calibri"/>
          <family val="2"/>
          <scheme val="none"/>
        </font>
      </dxf>
    </rfmt>
    <rfmt sheetId="5" sqref="P497" start="0" length="0">
      <dxf>
        <font>
          <sz val="11"/>
          <color rgb="FF000000"/>
          <name val="Calibri"/>
          <family val="2"/>
          <scheme val="none"/>
        </font>
      </dxf>
    </rfmt>
    <rfmt sheetId="5" sqref="P498" start="0" length="0">
      <dxf>
        <font>
          <sz val="11"/>
          <color rgb="FF000000"/>
          <name val="Calibri"/>
          <family val="2"/>
          <scheme val="none"/>
        </font>
      </dxf>
    </rfmt>
    <rfmt sheetId="5" sqref="P499" start="0" length="0">
      <dxf>
        <font>
          <sz val="11"/>
          <color rgb="FF000000"/>
          <name val="Calibri"/>
          <family val="2"/>
          <scheme val="none"/>
        </font>
      </dxf>
    </rfmt>
    <rfmt sheetId="5" sqref="P500" start="0" length="0">
      <dxf>
        <font>
          <sz val="11"/>
          <color rgb="FF000000"/>
          <name val="Calibri"/>
          <family val="2"/>
          <scheme val="none"/>
        </font>
      </dxf>
    </rfmt>
    <rfmt sheetId="5" sqref="P501" start="0" length="0">
      <dxf>
        <font>
          <sz val="11"/>
          <color rgb="FF000000"/>
          <name val="Calibri"/>
          <family val="2"/>
          <scheme val="none"/>
        </font>
      </dxf>
    </rfmt>
    <rfmt sheetId="5" sqref="P502" start="0" length="0">
      <dxf>
        <font>
          <sz val="11"/>
          <color rgb="FF000000"/>
          <name val="Calibri"/>
          <family val="2"/>
          <scheme val="none"/>
        </font>
      </dxf>
    </rfmt>
    <rfmt sheetId="5" sqref="P503" start="0" length="0">
      <dxf>
        <font>
          <sz val="11"/>
          <color rgb="FF000000"/>
          <name val="Calibri"/>
          <family val="2"/>
          <scheme val="none"/>
        </font>
      </dxf>
    </rfmt>
    <rfmt sheetId="5" sqref="P504" start="0" length="0">
      <dxf>
        <font>
          <sz val="11"/>
          <color rgb="FF000000"/>
          <name val="Calibri"/>
          <family val="2"/>
          <scheme val="none"/>
        </font>
      </dxf>
    </rfmt>
    <rfmt sheetId="5" sqref="P505" start="0" length="0">
      <dxf>
        <font>
          <sz val="11"/>
          <color rgb="FF000000"/>
          <name val="Calibri"/>
          <family val="2"/>
          <scheme val="none"/>
        </font>
      </dxf>
    </rfmt>
    <rfmt sheetId="5" sqref="P506" start="0" length="0">
      <dxf>
        <font>
          <sz val="11"/>
          <color rgb="FF000000"/>
          <name val="Calibri"/>
          <family val="2"/>
          <scheme val="none"/>
        </font>
      </dxf>
    </rfmt>
    <rfmt sheetId="5" sqref="P507" start="0" length="0">
      <dxf>
        <font>
          <sz val="11"/>
          <color rgb="FF000000"/>
          <name val="Calibri"/>
          <family val="2"/>
          <scheme val="none"/>
        </font>
      </dxf>
    </rfmt>
    <rfmt sheetId="5" sqref="P508" start="0" length="0">
      <dxf>
        <font>
          <sz val="11"/>
          <color rgb="FF000000"/>
          <name val="Calibri"/>
          <family val="2"/>
          <scheme val="none"/>
        </font>
      </dxf>
    </rfmt>
    <rfmt sheetId="5" sqref="P509" start="0" length="0">
      <dxf>
        <font>
          <sz val="11"/>
          <color rgb="FF000000"/>
          <name val="Calibri"/>
          <family val="2"/>
          <scheme val="none"/>
        </font>
      </dxf>
    </rfmt>
    <rfmt sheetId="5" sqref="P510" start="0" length="0">
      <dxf>
        <font>
          <sz val="11"/>
          <color rgb="FF000000"/>
          <name val="Calibri"/>
          <family val="2"/>
          <scheme val="none"/>
        </font>
      </dxf>
    </rfmt>
    <rfmt sheetId="5" sqref="P511" start="0" length="0">
      <dxf>
        <font>
          <sz val="11"/>
          <color rgb="FF000000"/>
          <name val="Calibri"/>
          <family val="2"/>
          <scheme val="none"/>
        </font>
      </dxf>
    </rfmt>
    <rfmt sheetId="5" sqref="P512" start="0" length="0">
      <dxf>
        <font>
          <sz val="11"/>
          <color rgb="FF000000"/>
          <name val="Calibri"/>
          <family val="2"/>
          <scheme val="none"/>
        </font>
      </dxf>
    </rfmt>
    <rfmt sheetId="5" sqref="P513" start="0" length="0">
      <dxf>
        <font>
          <sz val="11"/>
          <color rgb="FF000000"/>
          <name val="Calibri"/>
          <family val="2"/>
          <scheme val="none"/>
        </font>
      </dxf>
    </rfmt>
    <rfmt sheetId="5" sqref="P514" start="0" length="0">
      <dxf>
        <font>
          <sz val="11"/>
          <color rgb="FF000000"/>
          <name val="Calibri"/>
          <family val="2"/>
          <scheme val="none"/>
        </font>
      </dxf>
    </rfmt>
    <rfmt sheetId="5" sqref="P515" start="0" length="0">
      <dxf>
        <font>
          <sz val="11"/>
          <color rgb="FF000000"/>
          <name val="Calibri"/>
          <family val="2"/>
          <scheme val="none"/>
        </font>
      </dxf>
    </rfmt>
    <rfmt sheetId="5" sqref="P516" start="0" length="0">
      <dxf>
        <font>
          <sz val="11"/>
          <color rgb="FF000000"/>
          <name val="Calibri"/>
          <family val="2"/>
          <scheme val="none"/>
        </font>
      </dxf>
    </rfmt>
    <rfmt sheetId="5" sqref="P517" start="0" length="0">
      <dxf>
        <font>
          <sz val="11"/>
          <color rgb="FF000000"/>
          <name val="Calibri"/>
          <family val="2"/>
          <scheme val="none"/>
        </font>
      </dxf>
    </rfmt>
    <rfmt sheetId="5" sqref="P518" start="0" length="0">
      <dxf>
        <font>
          <sz val="11"/>
          <color rgb="FF000000"/>
          <name val="Calibri"/>
          <family val="2"/>
          <scheme val="none"/>
        </font>
      </dxf>
    </rfmt>
    <rfmt sheetId="5" sqref="P519" start="0" length="0">
      <dxf>
        <font>
          <sz val="11"/>
          <color rgb="FF000000"/>
          <name val="Calibri"/>
          <family val="2"/>
          <scheme val="none"/>
        </font>
      </dxf>
    </rfmt>
    <rfmt sheetId="5" sqref="P520" start="0" length="0">
      <dxf>
        <font>
          <sz val="11"/>
          <color rgb="FF000000"/>
          <name val="Calibri"/>
          <family val="2"/>
          <scheme val="none"/>
        </font>
      </dxf>
    </rfmt>
    <rfmt sheetId="5" sqref="P521" start="0" length="0">
      <dxf>
        <font>
          <sz val="11"/>
          <color rgb="FF000000"/>
          <name val="Calibri"/>
          <family val="2"/>
          <scheme val="none"/>
        </font>
      </dxf>
    </rfmt>
    <rfmt sheetId="5" sqref="P522" start="0" length="0">
      <dxf>
        <font>
          <sz val="11"/>
          <color rgb="FF000000"/>
          <name val="Calibri"/>
          <family val="2"/>
          <scheme val="none"/>
        </font>
      </dxf>
    </rfmt>
    <rfmt sheetId="5" sqref="P523" start="0" length="0">
      <dxf>
        <font>
          <sz val="11"/>
          <color rgb="FF000000"/>
          <name val="Calibri"/>
          <family val="2"/>
          <scheme val="none"/>
        </font>
      </dxf>
    </rfmt>
    <rfmt sheetId="5" sqref="P524" start="0" length="0">
      <dxf>
        <font>
          <sz val="11"/>
          <color rgb="FF000000"/>
          <name val="Calibri"/>
          <family val="2"/>
          <scheme val="none"/>
        </font>
      </dxf>
    </rfmt>
    <rfmt sheetId="5" sqref="P525" start="0" length="0">
      <dxf>
        <font>
          <sz val="11"/>
          <color rgb="FF000000"/>
          <name val="Calibri"/>
          <family val="2"/>
          <scheme val="none"/>
        </font>
      </dxf>
    </rfmt>
    <rfmt sheetId="5" sqref="P526" start="0" length="0">
      <dxf>
        <font>
          <sz val="11"/>
          <color rgb="FF000000"/>
          <name val="Calibri"/>
          <family val="2"/>
          <scheme val="none"/>
        </font>
      </dxf>
    </rfmt>
    <rfmt sheetId="5" sqref="P527" start="0" length="0">
      <dxf>
        <font>
          <sz val="11"/>
          <color rgb="FF000000"/>
          <name val="Calibri"/>
          <family val="2"/>
          <scheme val="none"/>
        </font>
      </dxf>
    </rfmt>
    <rfmt sheetId="5" sqref="P528" start="0" length="0">
      <dxf>
        <font>
          <sz val="11"/>
          <color rgb="FF000000"/>
          <name val="Calibri"/>
          <family val="2"/>
          <scheme val="none"/>
        </font>
      </dxf>
    </rfmt>
    <rfmt sheetId="5" sqref="P529" start="0" length="0">
      <dxf>
        <font>
          <sz val="11"/>
          <color rgb="FF000000"/>
          <name val="Calibri"/>
          <family val="2"/>
          <scheme val="none"/>
        </font>
      </dxf>
    </rfmt>
    <rfmt sheetId="5" sqref="P530" start="0" length="0">
      <dxf>
        <font>
          <sz val="11"/>
          <color rgb="FF000000"/>
          <name val="Calibri"/>
          <family val="2"/>
          <scheme val="none"/>
        </font>
      </dxf>
    </rfmt>
    <rfmt sheetId="5" sqref="P531" start="0" length="0">
      <dxf>
        <font>
          <sz val="11"/>
          <color rgb="FF000000"/>
          <name val="Calibri"/>
          <family val="2"/>
          <scheme val="none"/>
        </font>
      </dxf>
    </rfmt>
    <rfmt sheetId="5" sqref="P532" start="0" length="0">
      <dxf>
        <font>
          <sz val="11"/>
          <color rgb="FF000000"/>
          <name val="Calibri"/>
          <family val="2"/>
          <scheme val="none"/>
        </font>
      </dxf>
    </rfmt>
    <rfmt sheetId="5" sqref="P533" start="0" length="0">
      <dxf>
        <font>
          <sz val="11"/>
          <color rgb="FF000000"/>
          <name val="Calibri"/>
          <family val="2"/>
          <scheme val="none"/>
        </font>
      </dxf>
    </rfmt>
    <rfmt sheetId="5" sqref="P534" start="0" length="0">
      <dxf>
        <font>
          <sz val="11"/>
          <color rgb="FF000000"/>
          <name val="Calibri"/>
          <family val="2"/>
          <scheme val="none"/>
        </font>
      </dxf>
    </rfmt>
    <rfmt sheetId="5" sqref="P535" start="0" length="0">
      <dxf>
        <font>
          <sz val="11"/>
          <color rgb="FF000000"/>
          <name val="Calibri"/>
          <family val="2"/>
          <scheme val="none"/>
        </font>
      </dxf>
    </rfmt>
    <rfmt sheetId="5" sqref="P536" start="0" length="0">
      <dxf>
        <font>
          <sz val="11"/>
          <color rgb="FF000000"/>
          <name val="Calibri"/>
          <family val="2"/>
          <scheme val="none"/>
        </font>
      </dxf>
    </rfmt>
    <rfmt sheetId="5" sqref="P537" start="0" length="0">
      <dxf>
        <font>
          <sz val="11"/>
          <color rgb="FF000000"/>
          <name val="Calibri"/>
          <family val="2"/>
          <scheme val="none"/>
        </font>
      </dxf>
    </rfmt>
    <rfmt sheetId="5" sqref="P538" start="0" length="0">
      <dxf>
        <font>
          <sz val="11"/>
          <color rgb="FF000000"/>
          <name val="Calibri"/>
          <family val="2"/>
          <scheme val="none"/>
        </font>
      </dxf>
    </rfmt>
    <rfmt sheetId="5" sqref="P539" start="0" length="0">
      <dxf>
        <font>
          <sz val="11"/>
          <color rgb="FF000000"/>
          <name val="Calibri"/>
          <family val="2"/>
          <scheme val="none"/>
        </font>
      </dxf>
    </rfmt>
    <rfmt sheetId="5" sqref="P540" start="0" length="0">
      <dxf>
        <font>
          <sz val="11"/>
          <color rgb="FF000000"/>
          <name val="Calibri"/>
          <family val="2"/>
          <scheme val="none"/>
        </font>
      </dxf>
    </rfmt>
    <rfmt sheetId="5" sqref="P541" start="0" length="0">
      <dxf>
        <font>
          <sz val="11"/>
          <color rgb="FF000000"/>
          <name val="Calibri"/>
          <family val="2"/>
          <scheme val="none"/>
        </font>
      </dxf>
    </rfmt>
    <rfmt sheetId="5" sqref="P542" start="0" length="0">
      <dxf>
        <font>
          <sz val="11"/>
          <color rgb="FF000000"/>
          <name val="Calibri"/>
          <family val="2"/>
          <scheme val="none"/>
        </font>
      </dxf>
    </rfmt>
    <rfmt sheetId="5" sqref="P543" start="0" length="0">
      <dxf>
        <font>
          <sz val="11"/>
          <color rgb="FF000000"/>
          <name val="Calibri"/>
          <family val="2"/>
          <scheme val="none"/>
        </font>
      </dxf>
    </rfmt>
    <rfmt sheetId="5" sqref="P544" start="0" length="0">
      <dxf>
        <font>
          <sz val="11"/>
          <color rgb="FF000000"/>
          <name val="Calibri"/>
          <family val="2"/>
          <scheme val="none"/>
        </font>
      </dxf>
    </rfmt>
    <rfmt sheetId="5" sqref="P545" start="0" length="0">
      <dxf>
        <font>
          <sz val="11"/>
          <color rgb="FF000000"/>
          <name val="Calibri"/>
          <family val="2"/>
          <scheme val="none"/>
        </font>
      </dxf>
    </rfmt>
    <rfmt sheetId="5" sqref="P546" start="0" length="0">
      <dxf>
        <font>
          <sz val="11"/>
          <color rgb="FF000000"/>
          <name val="Calibri"/>
          <family val="2"/>
          <scheme val="none"/>
        </font>
      </dxf>
    </rfmt>
    <rfmt sheetId="5" sqref="P547" start="0" length="0">
      <dxf>
        <font>
          <sz val="11"/>
          <color rgb="FF000000"/>
          <name val="Calibri"/>
          <family val="2"/>
          <scheme val="none"/>
        </font>
      </dxf>
    </rfmt>
    <rfmt sheetId="5" sqref="P548" start="0" length="0">
      <dxf>
        <font>
          <sz val="11"/>
          <color rgb="FF000000"/>
          <name val="Calibri"/>
          <family val="2"/>
          <scheme val="none"/>
        </font>
      </dxf>
    </rfmt>
    <rfmt sheetId="5" sqref="P549" start="0" length="0">
      <dxf>
        <font>
          <sz val="11"/>
          <color rgb="FF000000"/>
          <name val="Calibri"/>
          <family val="2"/>
          <scheme val="none"/>
        </font>
      </dxf>
    </rfmt>
    <rfmt sheetId="5" sqref="P550" start="0" length="0">
      <dxf>
        <font>
          <sz val="11"/>
          <color rgb="FF000000"/>
          <name val="Calibri"/>
          <family val="2"/>
          <scheme val="none"/>
        </font>
      </dxf>
    </rfmt>
    <rfmt sheetId="5" sqref="P551" start="0" length="0">
      <dxf>
        <font>
          <sz val="11"/>
          <color rgb="FF000000"/>
          <name val="Calibri"/>
          <family val="2"/>
          <scheme val="none"/>
        </font>
      </dxf>
    </rfmt>
    <rfmt sheetId="5" sqref="P552" start="0" length="0">
      <dxf>
        <font>
          <sz val="11"/>
          <color rgb="FF000000"/>
          <name val="Calibri"/>
          <family val="2"/>
          <scheme val="none"/>
        </font>
      </dxf>
    </rfmt>
    <rfmt sheetId="5" sqref="P553" start="0" length="0">
      <dxf>
        <font>
          <sz val="11"/>
          <color rgb="FF000000"/>
          <name val="Calibri"/>
          <family val="2"/>
          <scheme val="none"/>
        </font>
      </dxf>
    </rfmt>
    <rfmt sheetId="5" sqref="P554" start="0" length="0">
      <dxf>
        <font>
          <sz val="11"/>
          <color rgb="FF000000"/>
          <name val="Calibri"/>
          <family val="2"/>
          <scheme val="none"/>
        </font>
      </dxf>
    </rfmt>
    <rfmt sheetId="5" sqref="P555" start="0" length="0">
      <dxf>
        <font>
          <sz val="11"/>
          <color rgb="FF000000"/>
          <name val="Calibri"/>
          <family val="2"/>
          <scheme val="none"/>
        </font>
      </dxf>
    </rfmt>
    <rfmt sheetId="5" sqref="P556" start="0" length="0">
      <dxf>
        <font>
          <sz val="11"/>
          <color rgb="FF000000"/>
          <name val="Calibri"/>
          <family val="2"/>
          <scheme val="none"/>
        </font>
      </dxf>
    </rfmt>
    <rfmt sheetId="5" sqref="P557" start="0" length="0">
      <dxf>
        <font>
          <sz val="11"/>
          <color rgb="FF000000"/>
          <name val="Calibri"/>
          <family val="2"/>
          <scheme val="none"/>
        </font>
      </dxf>
    </rfmt>
    <rfmt sheetId="5" sqref="P558" start="0" length="0">
      <dxf>
        <font>
          <sz val="11"/>
          <color rgb="FF000000"/>
          <name val="Calibri"/>
          <family val="2"/>
          <scheme val="none"/>
        </font>
      </dxf>
    </rfmt>
    <rfmt sheetId="5" sqref="P559" start="0" length="0">
      <dxf>
        <font>
          <sz val="11"/>
          <color rgb="FF000000"/>
          <name val="Calibri"/>
          <family val="2"/>
          <scheme val="none"/>
        </font>
      </dxf>
    </rfmt>
    <rfmt sheetId="5" sqref="P560" start="0" length="0">
      <dxf>
        <font>
          <sz val="11"/>
          <color rgb="FF000000"/>
          <name val="Calibri"/>
          <family val="2"/>
          <scheme val="none"/>
        </font>
      </dxf>
    </rfmt>
    <rfmt sheetId="5" sqref="P561" start="0" length="0">
      <dxf>
        <font>
          <sz val="11"/>
          <color rgb="FF000000"/>
          <name val="Calibri"/>
          <family val="2"/>
          <scheme val="none"/>
        </font>
      </dxf>
    </rfmt>
    <rfmt sheetId="5" sqref="P562" start="0" length="0">
      <dxf>
        <font>
          <sz val="11"/>
          <color rgb="FF000000"/>
          <name val="Calibri"/>
          <family val="2"/>
          <scheme val="none"/>
        </font>
      </dxf>
    </rfmt>
    <rfmt sheetId="5" sqref="P563" start="0" length="0">
      <dxf>
        <font>
          <sz val="11"/>
          <color rgb="FF000000"/>
          <name val="Calibri"/>
          <family val="2"/>
          <scheme val="none"/>
        </font>
      </dxf>
    </rfmt>
    <rfmt sheetId="5" sqref="P564" start="0" length="0">
      <dxf>
        <font>
          <sz val="11"/>
          <color rgb="FF000000"/>
          <name val="Calibri"/>
          <family val="2"/>
          <scheme val="none"/>
        </font>
      </dxf>
    </rfmt>
    <rfmt sheetId="5" sqref="P565" start="0" length="0">
      <dxf>
        <font>
          <sz val="11"/>
          <color rgb="FF000000"/>
          <name val="Calibri"/>
          <family val="2"/>
          <scheme val="none"/>
        </font>
      </dxf>
    </rfmt>
    <rfmt sheetId="5" sqref="P566" start="0" length="0">
      <dxf>
        <font>
          <sz val="11"/>
          <color rgb="FF000000"/>
          <name val="Calibri"/>
          <family val="2"/>
          <scheme val="none"/>
        </font>
      </dxf>
    </rfmt>
    <rfmt sheetId="5" sqref="P567" start="0" length="0">
      <dxf>
        <font>
          <sz val="11"/>
          <color rgb="FF000000"/>
          <name val="Calibri"/>
          <family val="2"/>
          <scheme val="none"/>
        </font>
      </dxf>
    </rfmt>
    <rfmt sheetId="5" sqref="P568" start="0" length="0">
      <dxf>
        <font>
          <sz val="11"/>
          <color rgb="FF000000"/>
          <name val="Calibri"/>
          <family val="2"/>
          <scheme val="none"/>
        </font>
      </dxf>
    </rfmt>
    <rfmt sheetId="5" sqref="P569" start="0" length="0">
      <dxf>
        <font>
          <sz val="11"/>
          <color rgb="FF000000"/>
          <name val="Calibri"/>
          <family val="2"/>
          <scheme val="none"/>
        </font>
      </dxf>
    </rfmt>
    <rfmt sheetId="5" sqref="P570" start="0" length="0">
      <dxf>
        <font>
          <sz val="11"/>
          <color rgb="FF000000"/>
          <name val="Calibri"/>
          <family val="2"/>
          <scheme val="none"/>
        </font>
      </dxf>
    </rfmt>
    <rfmt sheetId="5" sqref="P571" start="0" length="0">
      <dxf>
        <font>
          <sz val="11"/>
          <color rgb="FF000000"/>
          <name val="Calibri"/>
          <family val="2"/>
          <scheme val="none"/>
        </font>
      </dxf>
    </rfmt>
    <rfmt sheetId="5" sqref="P572" start="0" length="0">
      <dxf>
        <font>
          <sz val="11"/>
          <color rgb="FF000000"/>
          <name val="Calibri"/>
          <family val="2"/>
          <scheme val="none"/>
        </font>
      </dxf>
    </rfmt>
    <rfmt sheetId="5" sqref="P573" start="0" length="0">
      <dxf>
        <font>
          <sz val="11"/>
          <color rgb="FF000000"/>
          <name val="Calibri"/>
          <family val="2"/>
          <scheme val="none"/>
        </font>
      </dxf>
    </rfmt>
    <rfmt sheetId="5" sqref="P574" start="0" length="0">
      <dxf>
        <font>
          <sz val="11"/>
          <color rgb="FF000000"/>
          <name val="Calibri"/>
          <family val="2"/>
          <scheme val="none"/>
        </font>
      </dxf>
    </rfmt>
    <rfmt sheetId="5" sqref="P575" start="0" length="0">
      <dxf>
        <font>
          <sz val="11"/>
          <color rgb="FF000000"/>
          <name val="Calibri"/>
          <family val="2"/>
          <scheme val="none"/>
        </font>
      </dxf>
    </rfmt>
    <rfmt sheetId="5" sqref="P576" start="0" length="0">
      <dxf>
        <font>
          <sz val="11"/>
          <color rgb="FF000000"/>
          <name val="Calibri"/>
          <family val="2"/>
          <scheme val="none"/>
        </font>
      </dxf>
    </rfmt>
    <rfmt sheetId="5" sqref="P577" start="0" length="0">
      <dxf>
        <font>
          <sz val="11"/>
          <color rgb="FF000000"/>
          <name val="Calibri"/>
          <family val="2"/>
          <scheme val="none"/>
        </font>
      </dxf>
    </rfmt>
    <rfmt sheetId="5" sqref="P578" start="0" length="0">
      <dxf>
        <font>
          <sz val="11"/>
          <color rgb="FF000000"/>
          <name val="Calibri"/>
          <family val="2"/>
          <scheme val="none"/>
        </font>
      </dxf>
    </rfmt>
    <rfmt sheetId="5" sqref="P579" start="0" length="0">
      <dxf>
        <font>
          <sz val="11"/>
          <color rgb="FF000000"/>
          <name val="Calibri"/>
          <family val="2"/>
          <scheme val="none"/>
        </font>
      </dxf>
    </rfmt>
    <rfmt sheetId="5" sqref="P580" start="0" length="0">
      <dxf>
        <font>
          <sz val="11"/>
          <color rgb="FF000000"/>
          <name val="Calibri"/>
          <family val="2"/>
          <scheme val="none"/>
        </font>
      </dxf>
    </rfmt>
    <rfmt sheetId="5" sqref="P581" start="0" length="0">
      <dxf>
        <font>
          <sz val="11"/>
          <color rgb="FF000000"/>
          <name val="Calibri"/>
          <family val="2"/>
          <scheme val="none"/>
        </font>
      </dxf>
    </rfmt>
    <rfmt sheetId="5" sqref="P582" start="0" length="0">
      <dxf>
        <font>
          <sz val="11"/>
          <color rgb="FF000000"/>
          <name val="Calibri"/>
          <family val="2"/>
          <scheme val="none"/>
        </font>
      </dxf>
    </rfmt>
    <rfmt sheetId="5" sqref="P583" start="0" length="0">
      <dxf>
        <font>
          <sz val="11"/>
          <color rgb="FF000000"/>
          <name val="Calibri"/>
          <family val="2"/>
          <scheme val="none"/>
        </font>
      </dxf>
    </rfmt>
    <rfmt sheetId="5" sqref="P584" start="0" length="0">
      <dxf>
        <font>
          <sz val="11"/>
          <color rgb="FF000000"/>
          <name val="Calibri"/>
          <family val="2"/>
          <scheme val="none"/>
        </font>
      </dxf>
    </rfmt>
    <rfmt sheetId="5" sqref="P585" start="0" length="0">
      <dxf>
        <font>
          <sz val="11"/>
          <color rgb="FF000000"/>
          <name val="Calibri"/>
          <family val="2"/>
          <scheme val="none"/>
        </font>
      </dxf>
    </rfmt>
    <rfmt sheetId="5" sqref="P586" start="0" length="0">
      <dxf>
        <font>
          <sz val="11"/>
          <color rgb="FF000000"/>
          <name val="Calibri"/>
          <family val="2"/>
          <scheme val="none"/>
        </font>
      </dxf>
    </rfmt>
    <rfmt sheetId="5" sqref="P587" start="0" length="0">
      <dxf>
        <font>
          <sz val="11"/>
          <color rgb="FF000000"/>
          <name val="Calibri"/>
          <family val="2"/>
          <scheme val="none"/>
        </font>
      </dxf>
    </rfmt>
    <rfmt sheetId="5" sqref="P588" start="0" length="0">
      <dxf>
        <font>
          <sz val="11"/>
          <color rgb="FF000000"/>
          <name val="Calibri"/>
          <family val="2"/>
          <scheme val="none"/>
        </font>
      </dxf>
    </rfmt>
    <rfmt sheetId="5" sqref="P589" start="0" length="0">
      <dxf>
        <font>
          <sz val="11"/>
          <color rgb="FF000000"/>
          <name val="Calibri"/>
          <family val="2"/>
          <scheme val="none"/>
        </font>
      </dxf>
    </rfmt>
    <rfmt sheetId="5" sqref="P590" start="0" length="0">
      <dxf>
        <font>
          <sz val="11"/>
          <color rgb="FF000000"/>
          <name val="Calibri"/>
          <family val="2"/>
          <scheme val="none"/>
        </font>
      </dxf>
    </rfmt>
    <rfmt sheetId="5" sqref="P591" start="0" length="0">
      <dxf>
        <font>
          <sz val="11"/>
          <color rgb="FF000000"/>
          <name val="Calibri"/>
          <family val="2"/>
          <scheme val="none"/>
        </font>
      </dxf>
    </rfmt>
    <rfmt sheetId="5" sqref="P592" start="0" length="0">
      <dxf>
        <font>
          <sz val="11"/>
          <color rgb="FF000000"/>
          <name val="Calibri"/>
          <family val="2"/>
          <scheme val="none"/>
        </font>
      </dxf>
    </rfmt>
    <rfmt sheetId="5" sqref="P593" start="0" length="0">
      <dxf>
        <font>
          <sz val="11"/>
          <color rgb="FF000000"/>
          <name val="Calibri"/>
          <family val="2"/>
          <scheme val="none"/>
        </font>
      </dxf>
    </rfmt>
    <rfmt sheetId="5" sqref="P594" start="0" length="0">
      <dxf>
        <font>
          <sz val="11"/>
          <color rgb="FF000000"/>
          <name val="Calibri"/>
          <family val="2"/>
          <scheme val="none"/>
        </font>
      </dxf>
    </rfmt>
    <rfmt sheetId="5" sqref="P595" start="0" length="0">
      <dxf>
        <font>
          <sz val="11"/>
          <color rgb="FF000000"/>
          <name val="Calibri"/>
          <family val="2"/>
          <scheme val="none"/>
        </font>
      </dxf>
    </rfmt>
    <rfmt sheetId="5" sqref="P596" start="0" length="0">
      <dxf>
        <font>
          <sz val="11"/>
          <color rgb="FF000000"/>
          <name val="Calibri"/>
          <family val="2"/>
          <scheme val="none"/>
        </font>
      </dxf>
    </rfmt>
    <rfmt sheetId="5" sqref="P597" start="0" length="0">
      <dxf>
        <font>
          <sz val="11"/>
          <color rgb="FF000000"/>
          <name val="Calibri"/>
          <family val="2"/>
          <scheme val="none"/>
        </font>
      </dxf>
    </rfmt>
    <rfmt sheetId="5" sqref="P598" start="0" length="0">
      <dxf>
        <font>
          <sz val="11"/>
          <color rgb="FF000000"/>
          <name val="Calibri"/>
          <family val="2"/>
          <scheme val="none"/>
        </font>
      </dxf>
    </rfmt>
    <rfmt sheetId="5" sqref="P599" start="0" length="0">
      <dxf>
        <font>
          <sz val="11"/>
          <color rgb="FF000000"/>
          <name val="Calibri"/>
          <family val="2"/>
          <scheme val="none"/>
        </font>
      </dxf>
    </rfmt>
    <rfmt sheetId="5" sqref="P600" start="0" length="0">
      <dxf>
        <font>
          <sz val="11"/>
          <color rgb="FF000000"/>
          <name val="Calibri"/>
          <family val="2"/>
          <scheme val="none"/>
        </font>
      </dxf>
    </rfmt>
    <rfmt sheetId="5" sqref="P601" start="0" length="0">
      <dxf>
        <font>
          <sz val="11"/>
          <color rgb="FF000000"/>
          <name val="Calibri"/>
          <family val="2"/>
          <scheme val="none"/>
        </font>
      </dxf>
    </rfmt>
    <rfmt sheetId="5" sqref="P602" start="0" length="0">
      <dxf>
        <font>
          <sz val="11"/>
          <color rgb="FF000000"/>
          <name val="Calibri"/>
          <family val="2"/>
          <scheme val="none"/>
        </font>
      </dxf>
    </rfmt>
    <rfmt sheetId="5" sqref="P603" start="0" length="0">
      <dxf>
        <font>
          <sz val="11"/>
          <color rgb="FF000000"/>
          <name val="Calibri"/>
          <family val="2"/>
          <scheme val="none"/>
        </font>
      </dxf>
    </rfmt>
    <rfmt sheetId="5" sqref="P604" start="0" length="0">
      <dxf>
        <font>
          <sz val="11"/>
          <color rgb="FF000000"/>
          <name val="Calibri"/>
          <family val="2"/>
          <scheme val="none"/>
        </font>
      </dxf>
    </rfmt>
    <rfmt sheetId="5" sqref="P605" start="0" length="0">
      <dxf>
        <font>
          <sz val="11"/>
          <color rgb="FF000000"/>
          <name val="Calibri"/>
          <family val="2"/>
          <scheme val="none"/>
        </font>
      </dxf>
    </rfmt>
    <rfmt sheetId="5" sqref="P606" start="0" length="0">
      <dxf>
        <font>
          <sz val="11"/>
          <color rgb="FF000000"/>
          <name val="Calibri"/>
          <family val="2"/>
          <scheme val="none"/>
        </font>
      </dxf>
    </rfmt>
    <rfmt sheetId="5" sqref="P607" start="0" length="0">
      <dxf>
        <font>
          <sz val="11"/>
          <color rgb="FF000000"/>
          <name val="Calibri"/>
          <family val="2"/>
          <scheme val="none"/>
        </font>
      </dxf>
    </rfmt>
    <rfmt sheetId="5" sqref="P608" start="0" length="0">
      <dxf>
        <font>
          <sz val="11"/>
          <color rgb="FF000000"/>
          <name val="Calibri"/>
          <family val="2"/>
          <scheme val="none"/>
        </font>
      </dxf>
    </rfmt>
    <rfmt sheetId="5" sqref="P609" start="0" length="0">
      <dxf>
        <font>
          <sz val="11"/>
          <color rgb="FF000000"/>
          <name val="Calibri"/>
          <family val="2"/>
          <scheme val="none"/>
        </font>
      </dxf>
    </rfmt>
    <rfmt sheetId="5" sqref="P610" start="0" length="0">
      <dxf>
        <font>
          <sz val="11"/>
          <color rgb="FF000000"/>
          <name val="Calibri"/>
          <family val="2"/>
          <scheme val="none"/>
        </font>
      </dxf>
    </rfmt>
    <rfmt sheetId="5" sqref="P611" start="0" length="0">
      <dxf>
        <font>
          <sz val="11"/>
          <color rgb="FF000000"/>
          <name val="Calibri"/>
          <family val="2"/>
          <scheme val="none"/>
        </font>
      </dxf>
    </rfmt>
    <rfmt sheetId="5" sqref="P612" start="0" length="0">
      <dxf>
        <font>
          <sz val="11"/>
          <color rgb="FF000000"/>
          <name val="Calibri"/>
          <family val="2"/>
          <scheme val="none"/>
        </font>
      </dxf>
    </rfmt>
    <rfmt sheetId="5" sqref="P613" start="0" length="0">
      <dxf>
        <font>
          <sz val="11"/>
          <color rgb="FF000000"/>
          <name val="Calibri"/>
          <family val="2"/>
          <scheme val="none"/>
        </font>
      </dxf>
    </rfmt>
    <rfmt sheetId="5" sqref="P614" start="0" length="0">
      <dxf>
        <font>
          <sz val="11"/>
          <color rgb="FF000000"/>
          <name val="Calibri"/>
          <family val="2"/>
          <scheme val="none"/>
        </font>
      </dxf>
    </rfmt>
    <rfmt sheetId="5" sqref="P615" start="0" length="0">
      <dxf>
        <font>
          <sz val="11"/>
          <color rgb="FF000000"/>
          <name val="Calibri"/>
          <family val="2"/>
          <scheme val="none"/>
        </font>
      </dxf>
    </rfmt>
    <rfmt sheetId="5" sqref="P616" start="0" length="0">
      <dxf>
        <font>
          <sz val="11"/>
          <color rgb="FF000000"/>
          <name val="Calibri"/>
          <family val="2"/>
          <scheme val="none"/>
        </font>
      </dxf>
    </rfmt>
    <rfmt sheetId="5" sqref="P617" start="0" length="0">
      <dxf>
        <font>
          <sz val="11"/>
          <color rgb="FF000000"/>
          <name val="Calibri"/>
          <family val="2"/>
          <scheme val="none"/>
        </font>
      </dxf>
    </rfmt>
    <rfmt sheetId="5" sqref="P618" start="0" length="0">
      <dxf>
        <font>
          <sz val="11"/>
          <color rgb="FF000000"/>
          <name val="Calibri"/>
          <family val="2"/>
          <scheme val="none"/>
        </font>
      </dxf>
    </rfmt>
    <rfmt sheetId="5" sqref="P619" start="0" length="0">
      <dxf>
        <font>
          <sz val="11"/>
          <color rgb="FF000000"/>
          <name val="Calibri"/>
          <family val="2"/>
          <scheme val="none"/>
        </font>
      </dxf>
    </rfmt>
    <rfmt sheetId="5" sqref="P620" start="0" length="0">
      <dxf>
        <font>
          <sz val="11"/>
          <color rgb="FF000000"/>
          <name val="Calibri"/>
          <family val="2"/>
          <scheme val="none"/>
        </font>
      </dxf>
    </rfmt>
    <rfmt sheetId="5" sqref="P621" start="0" length="0">
      <dxf>
        <font>
          <sz val="11"/>
          <color rgb="FF000000"/>
          <name val="Calibri"/>
          <family val="2"/>
          <scheme val="none"/>
        </font>
      </dxf>
    </rfmt>
    <rfmt sheetId="5" sqref="P622" start="0" length="0">
      <dxf>
        <font>
          <sz val="11"/>
          <color rgb="FF000000"/>
          <name val="Calibri"/>
          <family val="2"/>
          <scheme val="none"/>
        </font>
      </dxf>
    </rfmt>
    <rfmt sheetId="5" sqref="P623" start="0" length="0">
      <dxf>
        <font>
          <sz val="11"/>
          <color rgb="FF000000"/>
          <name val="Calibri"/>
          <family val="2"/>
          <scheme val="none"/>
        </font>
      </dxf>
    </rfmt>
    <rfmt sheetId="5" sqref="P624" start="0" length="0">
      <dxf>
        <font>
          <sz val="11"/>
          <color rgb="FF000000"/>
          <name val="Calibri"/>
          <family val="2"/>
          <scheme val="none"/>
        </font>
      </dxf>
    </rfmt>
    <rfmt sheetId="5" sqref="P625" start="0" length="0">
      <dxf>
        <font>
          <sz val="11"/>
          <color rgb="FF000000"/>
          <name val="Calibri"/>
          <family val="2"/>
          <scheme val="none"/>
        </font>
      </dxf>
    </rfmt>
    <rfmt sheetId="5" sqref="P626" start="0" length="0">
      <dxf>
        <font>
          <sz val="11"/>
          <color rgb="FF000000"/>
          <name val="Calibri"/>
          <family val="2"/>
          <scheme val="none"/>
        </font>
      </dxf>
    </rfmt>
    <rfmt sheetId="5" sqref="P627" start="0" length="0">
      <dxf>
        <font>
          <sz val="11"/>
          <color rgb="FF000000"/>
          <name val="Calibri"/>
          <family val="2"/>
          <scheme val="none"/>
        </font>
      </dxf>
    </rfmt>
    <rfmt sheetId="5" sqref="P628" start="0" length="0">
      <dxf>
        <font>
          <sz val="11"/>
          <color rgb="FF000000"/>
          <name val="Calibri"/>
          <family val="2"/>
          <scheme val="none"/>
        </font>
      </dxf>
    </rfmt>
    <rfmt sheetId="5" sqref="P629" start="0" length="0">
      <dxf>
        <font>
          <sz val="11"/>
          <color rgb="FF000000"/>
          <name val="Calibri"/>
          <family val="2"/>
          <scheme val="none"/>
        </font>
      </dxf>
    </rfmt>
    <rfmt sheetId="5" sqref="P630" start="0" length="0">
      <dxf>
        <font>
          <sz val="11"/>
          <color rgb="FF000000"/>
          <name val="Calibri"/>
          <family val="2"/>
          <scheme val="none"/>
        </font>
      </dxf>
    </rfmt>
    <rfmt sheetId="5" sqref="P631" start="0" length="0">
      <dxf>
        <font>
          <sz val="11"/>
          <color rgb="FF000000"/>
          <name val="Calibri"/>
          <family val="2"/>
          <scheme val="none"/>
        </font>
      </dxf>
    </rfmt>
    <rfmt sheetId="5" sqref="P632" start="0" length="0">
      <dxf>
        <font>
          <sz val="11"/>
          <color rgb="FF000000"/>
          <name val="Calibri"/>
          <family val="2"/>
          <scheme val="none"/>
        </font>
      </dxf>
    </rfmt>
    <rfmt sheetId="5" sqref="P633" start="0" length="0">
      <dxf>
        <font>
          <sz val="11"/>
          <color rgb="FF000000"/>
          <name val="Calibri"/>
          <family val="2"/>
          <scheme val="none"/>
        </font>
      </dxf>
    </rfmt>
    <rfmt sheetId="5" sqref="P634" start="0" length="0">
      <dxf>
        <font>
          <sz val="11"/>
          <color rgb="FF000000"/>
          <name val="Calibri"/>
          <family val="2"/>
          <scheme val="none"/>
        </font>
      </dxf>
    </rfmt>
    <rfmt sheetId="5" sqref="P635" start="0" length="0">
      <dxf>
        <font>
          <sz val="11"/>
          <color rgb="FF000000"/>
          <name val="Calibri"/>
          <family val="2"/>
          <scheme val="none"/>
        </font>
      </dxf>
    </rfmt>
    <rfmt sheetId="5" sqref="P636" start="0" length="0">
      <dxf>
        <font>
          <sz val="11"/>
          <color rgb="FF000000"/>
          <name val="Calibri"/>
          <family val="2"/>
          <scheme val="none"/>
        </font>
      </dxf>
    </rfmt>
    <rfmt sheetId="5" sqref="P637" start="0" length="0">
      <dxf>
        <font>
          <sz val="11"/>
          <color rgb="FF000000"/>
          <name val="Calibri"/>
          <family val="2"/>
          <scheme val="none"/>
        </font>
      </dxf>
    </rfmt>
    <rfmt sheetId="5" sqref="P638" start="0" length="0">
      <dxf>
        <font>
          <sz val="11"/>
          <color rgb="FF000000"/>
          <name val="Calibri"/>
          <family val="2"/>
          <scheme val="none"/>
        </font>
      </dxf>
    </rfmt>
    <rfmt sheetId="5" sqref="P639" start="0" length="0">
      <dxf>
        <font>
          <sz val="11"/>
          <color rgb="FF000000"/>
          <name val="Calibri"/>
          <family val="2"/>
          <scheme val="none"/>
        </font>
      </dxf>
    </rfmt>
    <rfmt sheetId="5" sqref="P640" start="0" length="0">
      <dxf>
        <font>
          <sz val="11"/>
          <color rgb="FF000000"/>
          <name val="Calibri"/>
          <family val="2"/>
          <scheme val="none"/>
        </font>
      </dxf>
    </rfmt>
    <rfmt sheetId="5" sqref="P641" start="0" length="0">
      <dxf>
        <font>
          <sz val="11"/>
          <color rgb="FF000000"/>
          <name val="Calibri"/>
          <family val="2"/>
          <scheme val="none"/>
        </font>
      </dxf>
    </rfmt>
    <rfmt sheetId="5" sqref="P642" start="0" length="0">
      <dxf>
        <font>
          <sz val="11"/>
          <color rgb="FF000000"/>
          <name val="Calibri"/>
          <family val="2"/>
          <scheme val="none"/>
        </font>
      </dxf>
    </rfmt>
    <rfmt sheetId="5" sqref="P643" start="0" length="0">
      <dxf>
        <font>
          <sz val="11"/>
          <color rgb="FF000000"/>
          <name val="Calibri"/>
          <family val="2"/>
          <scheme val="none"/>
        </font>
      </dxf>
    </rfmt>
    <rfmt sheetId="5" sqref="P644" start="0" length="0">
      <dxf>
        <font>
          <sz val="11"/>
          <color rgb="FF000000"/>
          <name val="Calibri"/>
          <family val="2"/>
          <scheme val="none"/>
        </font>
      </dxf>
    </rfmt>
    <rfmt sheetId="5" sqref="P645" start="0" length="0">
      <dxf>
        <font>
          <sz val="11"/>
          <color rgb="FF000000"/>
          <name val="Calibri"/>
          <family val="2"/>
          <scheme val="none"/>
        </font>
      </dxf>
    </rfmt>
    <rfmt sheetId="5" sqref="P646" start="0" length="0">
      <dxf>
        <font>
          <sz val="11"/>
          <color rgb="FF000000"/>
          <name val="Calibri"/>
          <family val="2"/>
          <scheme val="none"/>
        </font>
      </dxf>
    </rfmt>
    <rfmt sheetId="5" sqref="P647" start="0" length="0">
      <dxf>
        <font>
          <sz val="11"/>
          <color rgb="FF000000"/>
          <name val="Calibri"/>
          <family val="2"/>
          <scheme val="none"/>
        </font>
      </dxf>
    </rfmt>
    <rfmt sheetId="5" sqref="P648" start="0" length="0">
      <dxf>
        <font>
          <sz val="11"/>
          <color rgb="FF000000"/>
          <name val="Calibri"/>
          <family val="2"/>
          <scheme val="none"/>
        </font>
      </dxf>
    </rfmt>
    <rfmt sheetId="5" sqref="P649" start="0" length="0">
      <dxf>
        <font>
          <sz val="11"/>
          <color rgb="FF000000"/>
          <name val="Calibri"/>
          <family val="2"/>
          <scheme val="none"/>
        </font>
      </dxf>
    </rfmt>
    <rfmt sheetId="5" sqref="P650" start="0" length="0">
      <dxf>
        <font>
          <sz val="11"/>
          <color rgb="FF000000"/>
          <name val="Calibri"/>
          <family val="2"/>
          <scheme val="none"/>
        </font>
      </dxf>
    </rfmt>
    <rfmt sheetId="5" sqref="P651" start="0" length="0">
      <dxf>
        <font>
          <sz val="11"/>
          <color rgb="FF000000"/>
          <name val="Calibri"/>
          <family val="2"/>
          <scheme val="none"/>
        </font>
      </dxf>
    </rfmt>
    <rfmt sheetId="5" sqref="P652" start="0" length="0">
      <dxf>
        <font>
          <sz val="11"/>
          <color rgb="FF000000"/>
          <name val="Calibri"/>
          <family val="2"/>
          <scheme val="none"/>
        </font>
      </dxf>
    </rfmt>
    <rfmt sheetId="5" sqref="P653" start="0" length="0">
      <dxf>
        <font>
          <sz val="11"/>
          <color rgb="FF000000"/>
          <name val="Calibri"/>
          <family val="2"/>
          <scheme val="none"/>
        </font>
      </dxf>
    </rfmt>
    <rfmt sheetId="5" sqref="P654" start="0" length="0">
      <dxf>
        <font>
          <sz val="11"/>
          <color rgb="FF000000"/>
          <name val="Calibri"/>
          <family val="2"/>
          <scheme val="none"/>
        </font>
      </dxf>
    </rfmt>
    <rfmt sheetId="5" sqref="P655" start="0" length="0">
      <dxf>
        <font>
          <sz val="11"/>
          <color rgb="FF000000"/>
          <name val="Calibri"/>
          <family val="2"/>
          <scheme val="none"/>
        </font>
      </dxf>
    </rfmt>
    <rfmt sheetId="5" sqref="P656" start="0" length="0">
      <dxf>
        <font>
          <sz val="11"/>
          <color rgb="FF000000"/>
          <name val="Calibri"/>
          <family val="2"/>
          <scheme val="none"/>
        </font>
      </dxf>
    </rfmt>
    <rfmt sheetId="5" sqref="P657" start="0" length="0">
      <dxf>
        <font>
          <sz val="11"/>
          <color rgb="FF000000"/>
          <name val="Calibri"/>
          <family val="2"/>
          <scheme val="none"/>
        </font>
      </dxf>
    </rfmt>
    <rfmt sheetId="5" sqref="P658" start="0" length="0">
      <dxf>
        <font>
          <sz val="11"/>
          <color rgb="FF000000"/>
          <name val="Calibri"/>
          <family val="2"/>
          <scheme val="none"/>
        </font>
      </dxf>
    </rfmt>
    <rfmt sheetId="5" sqref="P659" start="0" length="0">
      <dxf>
        <font>
          <sz val="11"/>
          <color rgb="FF000000"/>
          <name val="Calibri"/>
          <family val="2"/>
          <scheme val="none"/>
        </font>
      </dxf>
    </rfmt>
    <rfmt sheetId="5" sqref="P660" start="0" length="0">
      <dxf>
        <font>
          <sz val="11"/>
          <color rgb="FF000000"/>
          <name val="Calibri"/>
          <family val="2"/>
          <scheme val="none"/>
        </font>
      </dxf>
    </rfmt>
    <rfmt sheetId="5" sqref="P661" start="0" length="0">
      <dxf>
        <font>
          <sz val="11"/>
          <color rgb="FF000000"/>
          <name val="Calibri"/>
          <family val="2"/>
          <scheme val="none"/>
        </font>
      </dxf>
    </rfmt>
    <rfmt sheetId="5" sqref="P662" start="0" length="0">
      <dxf>
        <font>
          <sz val="11"/>
          <color rgb="FF000000"/>
          <name val="Calibri"/>
          <family val="2"/>
          <scheme val="none"/>
        </font>
      </dxf>
    </rfmt>
    <rfmt sheetId="5" sqref="P663" start="0" length="0">
      <dxf>
        <font>
          <sz val="11"/>
          <color rgb="FF000000"/>
          <name val="Calibri"/>
          <family val="2"/>
          <scheme val="none"/>
        </font>
      </dxf>
    </rfmt>
    <rfmt sheetId="5" sqref="P664" start="0" length="0">
      <dxf>
        <font>
          <sz val="11"/>
          <color rgb="FF000000"/>
          <name val="Calibri"/>
          <family val="2"/>
          <scheme val="none"/>
        </font>
      </dxf>
    </rfmt>
    <rfmt sheetId="5" sqref="P665" start="0" length="0">
      <dxf>
        <font>
          <sz val="11"/>
          <color rgb="FF000000"/>
          <name val="Calibri"/>
          <family val="2"/>
          <scheme val="none"/>
        </font>
      </dxf>
    </rfmt>
    <rfmt sheetId="5" sqref="P666" start="0" length="0">
      <dxf>
        <font>
          <sz val="11"/>
          <color rgb="FF000000"/>
          <name val="Calibri"/>
          <family val="2"/>
          <scheme val="none"/>
        </font>
      </dxf>
    </rfmt>
    <rfmt sheetId="5" sqref="P667" start="0" length="0">
      <dxf>
        <font>
          <sz val="11"/>
          <color rgb="FF000000"/>
          <name val="Calibri"/>
          <family val="2"/>
          <scheme val="none"/>
        </font>
      </dxf>
    </rfmt>
    <rfmt sheetId="5" sqref="P668" start="0" length="0">
      <dxf>
        <font>
          <sz val="11"/>
          <color rgb="FF000000"/>
          <name val="Calibri"/>
          <family val="2"/>
          <scheme val="none"/>
        </font>
      </dxf>
    </rfmt>
    <rfmt sheetId="5" sqref="P669" start="0" length="0">
      <dxf>
        <font>
          <sz val="11"/>
          <color rgb="FF000000"/>
          <name val="Calibri"/>
          <family val="2"/>
          <scheme val="none"/>
        </font>
      </dxf>
    </rfmt>
    <rfmt sheetId="5" sqref="P670" start="0" length="0">
      <dxf>
        <font>
          <sz val="11"/>
          <color rgb="FF000000"/>
          <name val="Calibri"/>
          <family val="2"/>
          <scheme val="none"/>
        </font>
      </dxf>
    </rfmt>
    <rfmt sheetId="5" sqref="P671" start="0" length="0">
      <dxf>
        <font>
          <sz val="11"/>
          <color rgb="FF000000"/>
          <name val="Calibri"/>
          <family val="2"/>
          <scheme val="none"/>
        </font>
      </dxf>
    </rfmt>
    <rfmt sheetId="5" sqref="P672" start="0" length="0">
      <dxf>
        <font>
          <sz val="11"/>
          <color rgb="FF000000"/>
          <name val="Calibri"/>
          <family val="2"/>
          <scheme val="none"/>
        </font>
      </dxf>
    </rfmt>
    <rfmt sheetId="5" sqref="P673" start="0" length="0">
      <dxf>
        <font>
          <sz val="11"/>
          <color rgb="FF000000"/>
          <name val="Calibri"/>
          <family val="2"/>
          <scheme val="none"/>
        </font>
      </dxf>
    </rfmt>
    <rfmt sheetId="5" sqref="P674" start="0" length="0">
      <dxf>
        <font>
          <sz val="11"/>
          <color rgb="FF000000"/>
          <name val="Calibri"/>
          <family val="2"/>
          <scheme val="none"/>
        </font>
      </dxf>
    </rfmt>
    <rfmt sheetId="5" sqref="P675" start="0" length="0">
      <dxf>
        <font>
          <sz val="11"/>
          <color rgb="FF000000"/>
          <name val="Calibri"/>
          <family val="2"/>
          <scheme val="none"/>
        </font>
      </dxf>
    </rfmt>
    <rfmt sheetId="5" sqref="P676" start="0" length="0">
      <dxf>
        <font>
          <sz val="11"/>
          <color rgb="FF000000"/>
          <name val="Calibri"/>
          <family val="2"/>
          <scheme val="none"/>
        </font>
      </dxf>
    </rfmt>
    <rfmt sheetId="5" sqref="P677" start="0" length="0">
      <dxf>
        <font>
          <sz val="11"/>
          <color rgb="FF000000"/>
          <name val="Calibri"/>
          <family val="2"/>
          <scheme val="none"/>
        </font>
      </dxf>
    </rfmt>
    <rfmt sheetId="5" sqref="P678" start="0" length="0">
      <dxf>
        <font>
          <sz val="11"/>
          <color rgb="FF000000"/>
          <name val="Calibri"/>
          <family val="2"/>
          <scheme val="none"/>
        </font>
      </dxf>
    </rfmt>
    <rfmt sheetId="5" sqref="P679" start="0" length="0">
      <dxf>
        <font>
          <sz val="11"/>
          <color rgb="FF000000"/>
          <name val="Calibri"/>
          <family val="2"/>
          <scheme val="none"/>
        </font>
      </dxf>
    </rfmt>
    <rfmt sheetId="5" sqref="P680" start="0" length="0">
      <dxf>
        <font>
          <sz val="11"/>
          <color rgb="FF000000"/>
          <name val="Calibri"/>
          <family val="2"/>
          <scheme val="none"/>
        </font>
      </dxf>
    </rfmt>
    <rfmt sheetId="5" sqref="P681" start="0" length="0">
      <dxf>
        <font>
          <sz val="11"/>
          <color rgb="FF000000"/>
          <name val="Calibri"/>
          <family val="2"/>
          <scheme val="none"/>
        </font>
      </dxf>
    </rfmt>
    <rfmt sheetId="5" sqref="P682" start="0" length="0">
      <dxf>
        <font>
          <sz val="11"/>
          <color rgb="FF000000"/>
          <name val="Calibri"/>
          <family val="2"/>
          <scheme val="none"/>
        </font>
      </dxf>
    </rfmt>
    <rfmt sheetId="5" sqref="P683" start="0" length="0">
      <dxf>
        <font>
          <sz val="11"/>
          <color rgb="FF000000"/>
          <name val="Calibri"/>
          <family val="2"/>
          <scheme val="none"/>
        </font>
      </dxf>
    </rfmt>
    <rfmt sheetId="5" sqref="P684" start="0" length="0">
      <dxf>
        <font>
          <sz val="11"/>
          <color rgb="FF000000"/>
          <name val="Calibri"/>
          <family val="2"/>
          <scheme val="none"/>
        </font>
      </dxf>
    </rfmt>
    <rfmt sheetId="5" sqref="P685" start="0" length="0">
      <dxf>
        <font>
          <sz val="11"/>
          <color rgb="FF000000"/>
          <name val="Calibri"/>
          <family val="2"/>
          <scheme val="none"/>
        </font>
      </dxf>
    </rfmt>
    <rfmt sheetId="5" sqref="P686" start="0" length="0">
      <dxf>
        <font>
          <sz val="11"/>
          <color rgb="FF000000"/>
          <name val="Calibri"/>
          <family val="2"/>
          <scheme val="none"/>
        </font>
      </dxf>
    </rfmt>
    <rfmt sheetId="5" sqref="P687" start="0" length="0">
      <dxf>
        <font>
          <sz val="11"/>
          <color rgb="FF000000"/>
          <name val="Calibri"/>
          <family val="2"/>
          <scheme val="none"/>
        </font>
      </dxf>
    </rfmt>
    <rfmt sheetId="5" sqref="P688" start="0" length="0">
      <dxf>
        <font>
          <sz val="11"/>
          <color rgb="FF000000"/>
          <name val="Calibri"/>
          <family val="2"/>
          <scheme val="none"/>
        </font>
      </dxf>
    </rfmt>
    <rfmt sheetId="5" sqref="P689" start="0" length="0">
      <dxf>
        <font>
          <sz val="11"/>
          <color rgb="FF000000"/>
          <name val="Calibri"/>
          <family val="2"/>
          <scheme val="none"/>
        </font>
      </dxf>
    </rfmt>
    <rfmt sheetId="5" sqref="P690" start="0" length="0">
      <dxf>
        <font>
          <sz val="11"/>
          <color rgb="FF000000"/>
          <name val="Calibri"/>
          <family val="2"/>
          <scheme val="none"/>
        </font>
      </dxf>
    </rfmt>
    <rfmt sheetId="5" sqref="P691" start="0" length="0">
      <dxf>
        <font>
          <sz val="11"/>
          <color rgb="FF000000"/>
          <name val="Calibri"/>
          <family val="2"/>
          <scheme val="none"/>
        </font>
      </dxf>
    </rfmt>
    <rfmt sheetId="5" sqref="P692" start="0" length="0">
      <dxf>
        <font>
          <sz val="11"/>
          <color rgb="FF000000"/>
          <name val="Calibri"/>
          <family val="2"/>
          <scheme val="none"/>
        </font>
      </dxf>
    </rfmt>
    <rfmt sheetId="5" sqref="P693" start="0" length="0">
      <dxf>
        <font>
          <sz val="11"/>
          <color rgb="FF000000"/>
          <name val="Calibri"/>
          <family val="2"/>
          <scheme val="none"/>
        </font>
      </dxf>
    </rfmt>
    <rfmt sheetId="5" sqref="P694" start="0" length="0">
      <dxf>
        <font>
          <sz val="11"/>
          <color rgb="FF000000"/>
          <name val="Calibri"/>
          <family val="2"/>
          <scheme val="none"/>
        </font>
      </dxf>
    </rfmt>
    <rfmt sheetId="5" sqref="P695" start="0" length="0">
      <dxf>
        <font>
          <sz val="11"/>
          <color rgb="FF000000"/>
          <name val="Calibri"/>
          <family val="2"/>
          <scheme val="none"/>
        </font>
      </dxf>
    </rfmt>
    <rfmt sheetId="5" sqref="P696" start="0" length="0">
      <dxf>
        <font>
          <sz val="11"/>
          <color rgb="FF000000"/>
          <name val="Calibri"/>
          <family val="2"/>
          <scheme val="none"/>
        </font>
      </dxf>
    </rfmt>
    <rfmt sheetId="5" sqref="P697" start="0" length="0">
      <dxf>
        <font>
          <sz val="11"/>
          <color rgb="FF000000"/>
          <name val="Calibri"/>
          <family val="2"/>
          <scheme val="none"/>
        </font>
      </dxf>
    </rfmt>
    <rfmt sheetId="5" sqref="P698" start="0" length="0">
      <dxf>
        <font>
          <sz val="11"/>
          <color rgb="FF000000"/>
          <name val="Calibri"/>
          <family val="2"/>
          <scheme val="none"/>
        </font>
      </dxf>
    </rfmt>
    <rfmt sheetId="5" sqref="P699" start="0" length="0">
      <dxf>
        <font>
          <sz val="11"/>
          <color rgb="FF000000"/>
          <name val="Calibri"/>
          <family val="2"/>
          <scheme val="none"/>
        </font>
      </dxf>
    </rfmt>
    <rfmt sheetId="5" sqref="P700" start="0" length="0">
      <dxf>
        <font>
          <sz val="11"/>
          <color rgb="FF000000"/>
          <name val="Calibri"/>
          <family val="2"/>
          <scheme val="none"/>
        </font>
      </dxf>
    </rfmt>
    <rfmt sheetId="5" sqref="P701" start="0" length="0">
      <dxf>
        <font>
          <sz val="11"/>
          <color rgb="FF000000"/>
          <name val="Calibri"/>
          <family val="2"/>
          <scheme val="none"/>
        </font>
      </dxf>
    </rfmt>
    <rfmt sheetId="5" sqref="P702" start="0" length="0">
      <dxf>
        <font>
          <sz val="11"/>
          <color rgb="FF000000"/>
          <name val="Calibri"/>
          <family val="2"/>
          <scheme val="none"/>
        </font>
      </dxf>
    </rfmt>
    <rfmt sheetId="5" sqref="P703" start="0" length="0">
      <dxf>
        <font>
          <sz val="11"/>
          <color rgb="FF000000"/>
          <name val="Calibri"/>
          <family val="2"/>
          <scheme val="none"/>
        </font>
      </dxf>
    </rfmt>
    <rfmt sheetId="5" sqref="P704" start="0" length="0">
      <dxf>
        <font>
          <sz val="11"/>
          <color rgb="FF000000"/>
          <name val="Calibri"/>
          <family val="2"/>
          <scheme val="none"/>
        </font>
      </dxf>
    </rfmt>
    <rfmt sheetId="5" sqref="P705" start="0" length="0">
      <dxf>
        <font>
          <sz val="11"/>
          <color rgb="FF000000"/>
          <name val="Calibri"/>
          <family val="2"/>
          <scheme val="none"/>
        </font>
      </dxf>
    </rfmt>
    <rfmt sheetId="5" sqref="P706" start="0" length="0">
      <dxf>
        <font>
          <sz val="11"/>
          <color rgb="FF000000"/>
          <name val="Calibri"/>
          <family val="2"/>
          <scheme val="none"/>
        </font>
      </dxf>
    </rfmt>
    <rfmt sheetId="5" sqref="P707" start="0" length="0">
      <dxf>
        <font>
          <sz val="11"/>
          <color rgb="FF000000"/>
          <name val="Calibri"/>
          <family val="2"/>
          <scheme val="none"/>
        </font>
      </dxf>
    </rfmt>
    <rfmt sheetId="5" sqref="P708" start="0" length="0">
      <dxf>
        <font>
          <sz val="11"/>
          <color rgb="FF000000"/>
          <name val="Calibri"/>
          <family val="2"/>
          <scheme val="none"/>
        </font>
      </dxf>
    </rfmt>
    <rfmt sheetId="5" sqref="P709" start="0" length="0">
      <dxf>
        <font>
          <sz val="11"/>
          <color rgb="FF000000"/>
          <name val="Calibri"/>
          <family val="2"/>
          <scheme val="none"/>
        </font>
      </dxf>
    </rfmt>
    <rfmt sheetId="5" sqref="P710" start="0" length="0">
      <dxf>
        <font>
          <sz val="11"/>
          <color rgb="FF000000"/>
          <name val="Calibri"/>
          <family val="2"/>
          <scheme val="none"/>
        </font>
      </dxf>
    </rfmt>
    <rfmt sheetId="5" sqref="P711" start="0" length="0">
      <dxf>
        <font>
          <sz val="11"/>
          <color rgb="FF000000"/>
          <name val="Calibri"/>
          <family val="2"/>
          <scheme val="none"/>
        </font>
      </dxf>
    </rfmt>
    <rfmt sheetId="5" sqref="P712" start="0" length="0">
      <dxf>
        <font>
          <sz val="11"/>
          <color rgb="FF000000"/>
          <name val="Calibri"/>
          <family val="2"/>
          <scheme val="none"/>
        </font>
      </dxf>
    </rfmt>
    <rfmt sheetId="5" sqref="P713" start="0" length="0">
      <dxf>
        <font>
          <sz val="11"/>
          <color rgb="FF000000"/>
          <name val="Calibri"/>
          <family val="2"/>
          <scheme val="none"/>
        </font>
      </dxf>
    </rfmt>
    <rfmt sheetId="5" sqref="P714" start="0" length="0">
      <dxf>
        <font>
          <sz val="11"/>
          <color rgb="FF000000"/>
          <name val="Calibri"/>
          <family val="2"/>
          <scheme val="none"/>
        </font>
      </dxf>
    </rfmt>
    <rfmt sheetId="5" sqref="P715" start="0" length="0">
      <dxf>
        <font>
          <sz val="11"/>
          <color rgb="FF000000"/>
          <name val="Calibri"/>
          <family val="2"/>
          <scheme val="none"/>
        </font>
      </dxf>
    </rfmt>
    <rfmt sheetId="5" sqref="P716" start="0" length="0">
      <dxf>
        <font>
          <sz val="11"/>
          <color rgb="FF000000"/>
          <name val="Calibri"/>
          <family val="2"/>
          <scheme val="none"/>
        </font>
      </dxf>
    </rfmt>
    <rfmt sheetId="5" sqref="P717" start="0" length="0">
      <dxf>
        <font>
          <sz val="11"/>
          <color rgb="FF000000"/>
          <name val="Calibri"/>
          <family val="2"/>
          <scheme val="none"/>
        </font>
      </dxf>
    </rfmt>
    <rfmt sheetId="5" sqref="P718" start="0" length="0">
      <dxf>
        <font>
          <sz val="11"/>
          <color rgb="FF000000"/>
          <name val="Calibri"/>
          <family val="2"/>
          <scheme val="none"/>
        </font>
      </dxf>
    </rfmt>
    <rfmt sheetId="5" sqref="P719" start="0" length="0">
      <dxf>
        <font>
          <sz val="11"/>
          <color rgb="FF000000"/>
          <name val="Calibri"/>
          <family val="2"/>
          <scheme val="none"/>
        </font>
      </dxf>
    </rfmt>
    <rfmt sheetId="5" sqref="P720" start="0" length="0">
      <dxf>
        <font>
          <sz val="11"/>
          <color rgb="FF000000"/>
          <name val="Calibri"/>
          <family val="2"/>
          <scheme val="none"/>
        </font>
      </dxf>
    </rfmt>
    <rfmt sheetId="5" sqref="P721" start="0" length="0">
      <dxf>
        <font>
          <sz val="11"/>
          <color rgb="FF000000"/>
          <name val="Calibri"/>
          <family val="2"/>
          <scheme val="none"/>
        </font>
      </dxf>
    </rfmt>
    <rfmt sheetId="5" sqref="P722" start="0" length="0">
      <dxf>
        <font>
          <sz val="11"/>
          <color rgb="FF000000"/>
          <name val="Calibri"/>
          <family val="2"/>
          <scheme val="none"/>
        </font>
      </dxf>
    </rfmt>
    <rfmt sheetId="5" sqref="P723" start="0" length="0">
      <dxf>
        <font>
          <sz val="11"/>
          <color rgb="FF000000"/>
          <name val="Calibri"/>
          <family val="2"/>
          <scheme val="none"/>
        </font>
      </dxf>
    </rfmt>
    <rfmt sheetId="5" sqref="P724" start="0" length="0">
      <dxf>
        <font>
          <sz val="11"/>
          <color rgb="FF000000"/>
          <name val="Calibri"/>
          <family val="2"/>
          <scheme val="none"/>
        </font>
      </dxf>
    </rfmt>
    <rfmt sheetId="5" sqref="P725" start="0" length="0">
      <dxf>
        <font>
          <sz val="11"/>
          <color rgb="FF000000"/>
          <name val="Calibri"/>
          <family val="2"/>
          <scheme val="none"/>
        </font>
      </dxf>
    </rfmt>
    <rfmt sheetId="5" sqref="P726" start="0" length="0">
      <dxf>
        <font>
          <sz val="11"/>
          <color rgb="FF000000"/>
          <name val="Calibri"/>
          <family val="2"/>
          <scheme val="none"/>
        </font>
      </dxf>
    </rfmt>
    <rfmt sheetId="5" sqref="P727" start="0" length="0">
      <dxf>
        <font>
          <sz val="11"/>
          <color rgb="FF000000"/>
          <name val="Calibri"/>
          <family val="2"/>
          <scheme val="none"/>
        </font>
      </dxf>
    </rfmt>
    <rfmt sheetId="5" sqref="P728" start="0" length="0">
      <dxf>
        <font>
          <sz val="11"/>
          <color rgb="FF000000"/>
          <name val="Calibri"/>
          <family val="2"/>
          <scheme val="none"/>
        </font>
      </dxf>
    </rfmt>
    <rfmt sheetId="5" sqref="P729" start="0" length="0">
      <dxf>
        <font>
          <sz val="11"/>
          <color rgb="FF000000"/>
          <name val="Calibri"/>
          <family val="2"/>
          <scheme val="none"/>
        </font>
      </dxf>
    </rfmt>
    <rfmt sheetId="5" sqref="P730" start="0" length="0">
      <dxf>
        <font>
          <sz val="11"/>
          <color rgb="FF000000"/>
          <name val="Calibri"/>
          <family val="2"/>
          <scheme val="none"/>
        </font>
      </dxf>
    </rfmt>
    <rfmt sheetId="5" sqref="P731" start="0" length="0">
      <dxf>
        <font>
          <sz val="11"/>
          <color rgb="FF000000"/>
          <name val="Calibri"/>
          <family val="2"/>
          <scheme val="none"/>
        </font>
      </dxf>
    </rfmt>
    <rfmt sheetId="5" sqref="P732" start="0" length="0">
      <dxf>
        <font>
          <sz val="11"/>
          <color rgb="FF000000"/>
          <name val="Calibri"/>
          <family val="2"/>
          <scheme val="none"/>
        </font>
      </dxf>
    </rfmt>
    <rfmt sheetId="5" sqref="P733" start="0" length="0">
      <dxf>
        <font>
          <sz val="11"/>
          <color rgb="FF000000"/>
          <name val="Calibri"/>
          <family val="2"/>
          <scheme val="none"/>
        </font>
      </dxf>
    </rfmt>
    <rfmt sheetId="5" sqref="P734" start="0" length="0">
      <dxf>
        <font>
          <sz val="11"/>
          <color rgb="FF000000"/>
          <name val="Calibri"/>
          <family val="2"/>
          <scheme val="none"/>
        </font>
      </dxf>
    </rfmt>
    <rfmt sheetId="5" sqref="P735" start="0" length="0">
      <dxf>
        <font>
          <sz val="11"/>
          <color rgb="FF000000"/>
          <name val="Calibri"/>
          <family val="2"/>
          <scheme val="none"/>
        </font>
      </dxf>
    </rfmt>
    <rfmt sheetId="5" sqref="P736" start="0" length="0">
      <dxf>
        <font>
          <sz val="11"/>
          <color rgb="FF000000"/>
          <name val="Calibri"/>
          <family val="2"/>
          <scheme val="none"/>
        </font>
      </dxf>
    </rfmt>
    <rfmt sheetId="5" sqref="P737" start="0" length="0">
      <dxf>
        <font>
          <sz val="11"/>
          <color rgb="FF000000"/>
          <name val="Calibri"/>
          <family val="2"/>
          <scheme val="none"/>
        </font>
      </dxf>
    </rfmt>
    <rfmt sheetId="5" sqref="P738" start="0" length="0">
      <dxf>
        <font>
          <sz val="11"/>
          <color rgb="FF000000"/>
          <name val="Calibri"/>
          <family val="2"/>
          <scheme val="none"/>
        </font>
      </dxf>
    </rfmt>
    <rfmt sheetId="5" sqref="P739" start="0" length="0">
      <dxf>
        <font>
          <sz val="11"/>
          <color rgb="FF000000"/>
          <name val="Calibri"/>
          <family val="2"/>
          <scheme val="none"/>
        </font>
      </dxf>
    </rfmt>
    <rfmt sheetId="5" sqref="P740" start="0" length="0">
      <dxf>
        <font>
          <sz val="11"/>
          <color rgb="FF000000"/>
          <name val="Calibri"/>
          <family val="2"/>
          <scheme val="none"/>
        </font>
      </dxf>
    </rfmt>
    <rfmt sheetId="5" sqref="P741" start="0" length="0">
      <dxf>
        <font>
          <sz val="11"/>
          <color rgb="FF000000"/>
          <name val="Calibri"/>
          <family val="2"/>
          <scheme val="none"/>
        </font>
      </dxf>
    </rfmt>
    <rfmt sheetId="5" sqref="P742" start="0" length="0">
      <dxf>
        <font>
          <sz val="11"/>
          <color rgb="FF000000"/>
          <name val="Calibri"/>
          <family val="2"/>
          <scheme val="none"/>
        </font>
      </dxf>
    </rfmt>
    <rfmt sheetId="5" sqref="P743" start="0" length="0">
      <dxf>
        <font>
          <sz val="11"/>
          <color rgb="FF000000"/>
          <name val="Calibri"/>
          <family val="2"/>
          <scheme val="none"/>
        </font>
      </dxf>
    </rfmt>
    <rfmt sheetId="5" sqref="P744" start="0" length="0">
      <dxf>
        <font>
          <sz val="11"/>
          <color rgb="FF000000"/>
          <name val="Calibri"/>
          <family val="2"/>
          <scheme val="none"/>
        </font>
      </dxf>
    </rfmt>
    <rfmt sheetId="5" sqref="P745" start="0" length="0">
      <dxf>
        <font>
          <sz val="11"/>
          <color rgb="FF000000"/>
          <name val="Calibri"/>
          <family val="2"/>
          <scheme val="none"/>
        </font>
      </dxf>
    </rfmt>
    <rfmt sheetId="5" sqref="P746" start="0" length="0">
      <dxf>
        <font>
          <sz val="11"/>
          <color rgb="FF000000"/>
          <name val="Calibri"/>
          <family val="2"/>
          <scheme val="none"/>
        </font>
      </dxf>
    </rfmt>
    <rfmt sheetId="5" sqref="P747" start="0" length="0">
      <dxf>
        <font>
          <sz val="11"/>
          <color rgb="FF000000"/>
          <name val="Calibri"/>
          <family val="2"/>
          <scheme val="none"/>
        </font>
      </dxf>
    </rfmt>
    <rfmt sheetId="5" sqref="P748" start="0" length="0">
      <dxf>
        <font>
          <sz val="11"/>
          <color rgb="FF000000"/>
          <name val="Calibri"/>
          <family val="2"/>
          <scheme val="none"/>
        </font>
      </dxf>
    </rfmt>
    <rfmt sheetId="5" sqref="P749" start="0" length="0">
      <dxf>
        <font>
          <sz val="11"/>
          <color rgb="FF000000"/>
          <name val="Calibri"/>
          <family val="2"/>
          <scheme val="none"/>
        </font>
      </dxf>
    </rfmt>
    <rfmt sheetId="5" sqref="P750" start="0" length="0">
      <dxf>
        <font>
          <sz val="11"/>
          <color rgb="FF000000"/>
          <name val="Calibri"/>
          <family val="2"/>
          <scheme val="none"/>
        </font>
      </dxf>
    </rfmt>
    <rfmt sheetId="5" sqref="P751" start="0" length="0">
      <dxf>
        <font>
          <sz val="11"/>
          <color rgb="FF000000"/>
          <name val="Calibri"/>
          <family val="2"/>
          <scheme val="none"/>
        </font>
      </dxf>
    </rfmt>
    <rfmt sheetId="5" sqref="P752" start="0" length="0">
      <dxf>
        <font>
          <sz val="11"/>
          <color rgb="FF000000"/>
          <name val="Calibri"/>
          <family val="2"/>
          <scheme val="none"/>
        </font>
      </dxf>
    </rfmt>
    <rfmt sheetId="5" sqref="P753" start="0" length="0">
      <dxf>
        <font>
          <sz val="11"/>
          <color rgb="FF000000"/>
          <name val="Calibri"/>
          <family val="2"/>
          <scheme val="none"/>
        </font>
      </dxf>
    </rfmt>
    <rfmt sheetId="5" sqref="P754" start="0" length="0">
      <dxf>
        <font>
          <sz val="11"/>
          <color rgb="FF000000"/>
          <name val="Calibri"/>
          <family val="2"/>
          <scheme val="none"/>
        </font>
      </dxf>
    </rfmt>
    <rfmt sheetId="5" sqref="P755" start="0" length="0">
      <dxf>
        <font>
          <sz val="11"/>
          <color rgb="FF000000"/>
          <name val="Calibri"/>
          <family val="2"/>
          <scheme val="none"/>
        </font>
      </dxf>
    </rfmt>
    <rfmt sheetId="5" sqref="P756" start="0" length="0">
      <dxf>
        <font>
          <sz val="11"/>
          <color rgb="FF000000"/>
          <name val="Calibri"/>
          <family val="2"/>
          <scheme val="none"/>
        </font>
      </dxf>
    </rfmt>
    <rfmt sheetId="5" sqref="P757" start="0" length="0">
      <dxf>
        <font>
          <sz val="11"/>
          <color rgb="FF000000"/>
          <name val="Calibri"/>
          <family val="2"/>
          <scheme val="none"/>
        </font>
      </dxf>
    </rfmt>
    <rfmt sheetId="5" sqref="P758" start="0" length="0">
      <dxf>
        <font>
          <sz val="11"/>
          <color rgb="FF000000"/>
          <name val="Calibri"/>
          <family val="2"/>
          <scheme val="none"/>
        </font>
      </dxf>
    </rfmt>
    <rfmt sheetId="5" sqref="P759" start="0" length="0">
      <dxf>
        <font>
          <sz val="11"/>
          <color rgb="FF000000"/>
          <name val="Calibri"/>
          <family val="2"/>
          <scheme val="none"/>
        </font>
      </dxf>
    </rfmt>
    <rfmt sheetId="5" sqref="P760" start="0" length="0">
      <dxf>
        <font>
          <sz val="11"/>
          <color rgb="FF000000"/>
          <name val="Calibri"/>
          <family val="2"/>
          <scheme val="none"/>
        </font>
      </dxf>
    </rfmt>
    <rfmt sheetId="5" sqref="P761" start="0" length="0">
      <dxf>
        <font>
          <sz val="11"/>
          <color rgb="FF000000"/>
          <name val="Calibri"/>
          <family val="2"/>
          <scheme val="none"/>
        </font>
      </dxf>
    </rfmt>
    <rfmt sheetId="5" sqref="P762" start="0" length="0">
      <dxf>
        <font>
          <sz val="11"/>
          <color rgb="FF000000"/>
          <name val="Calibri"/>
          <family val="2"/>
          <scheme val="none"/>
        </font>
      </dxf>
    </rfmt>
    <rfmt sheetId="5" sqref="P763" start="0" length="0">
      <dxf>
        <font>
          <sz val="11"/>
          <color rgb="FF000000"/>
          <name val="Calibri"/>
          <family val="2"/>
          <scheme val="none"/>
        </font>
      </dxf>
    </rfmt>
    <rfmt sheetId="5" sqref="P764" start="0" length="0">
      <dxf>
        <font>
          <sz val="11"/>
          <color rgb="FF000000"/>
          <name val="Calibri"/>
          <family val="2"/>
          <scheme val="none"/>
        </font>
      </dxf>
    </rfmt>
    <rfmt sheetId="5" sqref="P765" start="0" length="0">
      <dxf>
        <font>
          <sz val="11"/>
          <color rgb="FF000000"/>
          <name val="Calibri"/>
          <family val="2"/>
          <scheme val="none"/>
        </font>
      </dxf>
    </rfmt>
    <rfmt sheetId="5" sqref="P766" start="0" length="0">
      <dxf>
        <font>
          <sz val="11"/>
          <color rgb="FF000000"/>
          <name val="Calibri"/>
          <family val="2"/>
          <scheme val="none"/>
        </font>
      </dxf>
    </rfmt>
    <rfmt sheetId="5" sqref="P767" start="0" length="0">
      <dxf>
        <font>
          <sz val="11"/>
          <color rgb="FF000000"/>
          <name val="Calibri"/>
          <family val="2"/>
          <scheme val="none"/>
        </font>
      </dxf>
    </rfmt>
    <rfmt sheetId="5" sqref="P768" start="0" length="0">
      <dxf>
        <font>
          <sz val="11"/>
          <color rgb="FF000000"/>
          <name val="Calibri"/>
          <family val="2"/>
          <scheme val="none"/>
        </font>
      </dxf>
    </rfmt>
    <rfmt sheetId="5" sqref="P769" start="0" length="0">
      <dxf>
        <font>
          <sz val="11"/>
          <color rgb="FF000000"/>
          <name val="Calibri"/>
          <family val="2"/>
          <scheme val="none"/>
        </font>
      </dxf>
    </rfmt>
    <rfmt sheetId="5" sqref="P770" start="0" length="0">
      <dxf>
        <font>
          <sz val="11"/>
          <color rgb="FF000000"/>
          <name val="Calibri"/>
          <family val="2"/>
          <scheme val="none"/>
        </font>
      </dxf>
    </rfmt>
    <rfmt sheetId="5" sqref="P771" start="0" length="0">
      <dxf>
        <font>
          <sz val="11"/>
          <color rgb="FF000000"/>
          <name val="Calibri"/>
          <family val="2"/>
          <scheme val="none"/>
        </font>
      </dxf>
    </rfmt>
    <rfmt sheetId="5" sqref="P772" start="0" length="0">
      <dxf>
        <font>
          <sz val="11"/>
          <color rgb="FF000000"/>
          <name val="Calibri"/>
          <family val="2"/>
          <scheme val="none"/>
        </font>
      </dxf>
    </rfmt>
    <rfmt sheetId="5" sqref="P773" start="0" length="0">
      <dxf>
        <font>
          <sz val="11"/>
          <color rgb="FF000000"/>
          <name val="Calibri"/>
          <family val="2"/>
          <scheme val="none"/>
        </font>
      </dxf>
    </rfmt>
    <rfmt sheetId="5" sqref="P774" start="0" length="0">
      <dxf>
        <font>
          <sz val="11"/>
          <color rgb="FF000000"/>
          <name val="Calibri"/>
          <family val="2"/>
          <scheme val="none"/>
        </font>
      </dxf>
    </rfmt>
    <rfmt sheetId="5" sqref="P775" start="0" length="0">
      <dxf>
        <font>
          <sz val="11"/>
          <color rgb="FF000000"/>
          <name val="Calibri"/>
          <family val="2"/>
          <scheme val="none"/>
        </font>
      </dxf>
    </rfmt>
    <rfmt sheetId="5" sqref="P776" start="0" length="0">
      <dxf>
        <font>
          <sz val="11"/>
          <color rgb="FF000000"/>
          <name val="Calibri"/>
          <family val="2"/>
          <scheme val="none"/>
        </font>
      </dxf>
    </rfmt>
    <rfmt sheetId="5" sqref="P777" start="0" length="0">
      <dxf>
        <font>
          <sz val="11"/>
          <color rgb="FF000000"/>
          <name val="Calibri"/>
          <family val="2"/>
          <scheme val="none"/>
        </font>
      </dxf>
    </rfmt>
    <rfmt sheetId="5" sqref="P778" start="0" length="0">
      <dxf>
        <font>
          <sz val="11"/>
          <color rgb="FF000000"/>
          <name val="Calibri"/>
          <family val="2"/>
          <scheme val="none"/>
        </font>
      </dxf>
    </rfmt>
    <rfmt sheetId="5" sqref="P779" start="0" length="0">
      <dxf>
        <font>
          <sz val="11"/>
          <color rgb="FF000000"/>
          <name val="Calibri"/>
          <family val="2"/>
          <scheme val="none"/>
        </font>
      </dxf>
    </rfmt>
    <rfmt sheetId="5" sqref="P780" start="0" length="0">
      <dxf>
        <font>
          <sz val="11"/>
          <color rgb="FF000000"/>
          <name val="Calibri"/>
          <family val="2"/>
          <scheme val="none"/>
        </font>
      </dxf>
    </rfmt>
    <rfmt sheetId="5" sqref="P781" start="0" length="0">
      <dxf>
        <font>
          <sz val="11"/>
          <color rgb="FF000000"/>
          <name val="Calibri"/>
          <family val="2"/>
          <scheme val="none"/>
        </font>
      </dxf>
    </rfmt>
    <rfmt sheetId="5" sqref="P782" start="0" length="0">
      <dxf>
        <font>
          <sz val="11"/>
          <color rgb="FF000000"/>
          <name val="Calibri"/>
          <family val="2"/>
          <scheme val="none"/>
        </font>
      </dxf>
    </rfmt>
    <rfmt sheetId="5" sqref="P783" start="0" length="0">
      <dxf>
        <font>
          <sz val="11"/>
          <color rgb="FF000000"/>
          <name val="Calibri"/>
          <family val="2"/>
          <scheme val="none"/>
        </font>
      </dxf>
    </rfmt>
    <rfmt sheetId="5" sqref="P784" start="0" length="0">
      <dxf>
        <font>
          <sz val="11"/>
          <color rgb="FF000000"/>
          <name val="Calibri"/>
          <family val="2"/>
          <scheme val="none"/>
        </font>
      </dxf>
    </rfmt>
    <rfmt sheetId="5" sqref="P785" start="0" length="0">
      <dxf>
        <font>
          <sz val="11"/>
          <color rgb="FF000000"/>
          <name val="Calibri"/>
          <family val="2"/>
          <scheme val="none"/>
        </font>
      </dxf>
    </rfmt>
    <rfmt sheetId="5" sqref="P786" start="0" length="0">
      <dxf>
        <font>
          <sz val="11"/>
          <color rgb="FF000000"/>
          <name val="Calibri"/>
          <family val="2"/>
          <scheme val="none"/>
        </font>
      </dxf>
    </rfmt>
    <rfmt sheetId="5" sqref="P787" start="0" length="0">
      <dxf>
        <font>
          <sz val="11"/>
          <color rgb="FF000000"/>
          <name val="Calibri"/>
          <family val="2"/>
          <scheme val="none"/>
        </font>
      </dxf>
    </rfmt>
    <rfmt sheetId="5" sqref="P788" start="0" length="0">
      <dxf>
        <font>
          <sz val="11"/>
          <color rgb="FF000000"/>
          <name val="Calibri"/>
          <family val="2"/>
          <scheme val="none"/>
        </font>
      </dxf>
    </rfmt>
    <rfmt sheetId="5" sqref="P789" start="0" length="0">
      <dxf>
        <font>
          <sz val="11"/>
          <color rgb="FF000000"/>
          <name val="Calibri"/>
          <family val="2"/>
          <scheme val="none"/>
        </font>
      </dxf>
    </rfmt>
    <rfmt sheetId="5" sqref="P790" start="0" length="0">
      <dxf>
        <font>
          <sz val="11"/>
          <color rgb="FF000000"/>
          <name val="Calibri"/>
          <family val="2"/>
          <scheme val="none"/>
        </font>
      </dxf>
    </rfmt>
    <rfmt sheetId="5" sqref="P791" start="0" length="0">
      <dxf>
        <font>
          <sz val="11"/>
          <color rgb="FF000000"/>
          <name val="Calibri"/>
          <family val="2"/>
          <scheme val="none"/>
        </font>
      </dxf>
    </rfmt>
    <rfmt sheetId="5" sqref="P792" start="0" length="0">
      <dxf>
        <font>
          <sz val="11"/>
          <color rgb="FF000000"/>
          <name val="Calibri"/>
          <family val="2"/>
          <scheme val="none"/>
        </font>
      </dxf>
    </rfmt>
    <rfmt sheetId="5" sqref="P793" start="0" length="0">
      <dxf>
        <font>
          <sz val="11"/>
          <color rgb="FF000000"/>
          <name val="Calibri"/>
          <family val="2"/>
          <scheme val="none"/>
        </font>
      </dxf>
    </rfmt>
    <rfmt sheetId="5" sqref="P794" start="0" length="0">
      <dxf>
        <font>
          <sz val="11"/>
          <color rgb="FF000000"/>
          <name val="Calibri"/>
          <family val="2"/>
          <scheme val="none"/>
        </font>
      </dxf>
    </rfmt>
    <rfmt sheetId="5" sqref="P795" start="0" length="0">
      <dxf>
        <font>
          <sz val="11"/>
          <color rgb="FF000000"/>
          <name val="Calibri"/>
          <family val="2"/>
          <scheme val="none"/>
        </font>
      </dxf>
    </rfmt>
    <rfmt sheetId="5" sqref="P796" start="0" length="0">
      <dxf>
        <font>
          <sz val="11"/>
          <color rgb="FF000000"/>
          <name val="Calibri"/>
          <family val="2"/>
          <scheme val="none"/>
        </font>
      </dxf>
    </rfmt>
    <rfmt sheetId="5" sqref="P797" start="0" length="0">
      <dxf>
        <font>
          <sz val="11"/>
          <color rgb="FF000000"/>
          <name val="Calibri"/>
          <family val="2"/>
          <scheme val="none"/>
        </font>
      </dxf>
    </rfmt>
    <rfmt sheetId="5" sqref="P798" start="0" length="0">
      <dxf>
        <font>
          <sz val="11"/>
          <color rgb="FF000000"/>
          <name val="Calibri"/>
          <family val="2"/>
          <scheme val="none"/>
        </font>
      </dxf>
    </rfmt>
    <rfmt sheetId="5" sqref="P799" start="0" length="0">
      <dxf>
        <font>
          <sz val="11"/>
          <color rgb="FF000000"/>
          <name val="Calibri"/>
          <family val="2"/>
          <scheme val="none"/>
        </font>
      </dxf>
    </rfmt>
    <rfmt sheetId="5" sqref="P800" start="0" length="0">
      <dxf>
        <font>
          <sz val="11"/>
          <color rgb="FF000000"/>
          <name val="Calibri"/>
          <family val="2"/>
          <scheme val="none"/>
        </font>
      </dxf>
    </rfmt>
    <rfmt sheetId="5" sqref="P801" start="0" length="0">
      <dxf>
        <font>
          <sz val="11"/>
          <color rgb="FF000000"/>
          <name val="Calibri"/>
          <family val="2"/>
          <scheme val="none"/>
        </font>
      </dxf>
    </rfmt>
    <rfmt sheetId="5" sqref="P802" start="0" length="0">
      <dxf>
        <font>
          <sz val="11"/>
          <color rgb="FF000000"/>
          <name val="Calibri"/>
          <family val="2"/>
          <scheme val="none"/>
        </font>
      </dxf>
    </rfmt>
    <rfmt sheetId="5" sqref="P803" start="0" length="0">
      <dxf>
        <font>
          <sz val="11"/>
          <color rgb="FF000000"/>
          <name val="Calibri"/>
          <family val="2"/>
          <scheme val="none"/>
        </font>
      </dxf>
    </rfmt>
    <rfmt sheetId="5" sqref="P804" start="0" length="0">
      <dxf>
        <font>
          <sz val="11"/>
          <color rgb="FF000000"/>
          <name val="Calibri"/>
          <family val="2"/>
          <scheme val="none"/>
        </font>
      </dxf>
    </rfmt>
    <rfmt sheetId="5" sqref="P805" start="0" length="0">
      <dxf>
        <font>
          <sz val="11"/>
          <color rgb="FF000000"/>
          <name val="Calibri"/>
          <family val="2"/>
          <scheme val="none"/>
        </font>
      </dxf>
    </rfmt>
    <rfmt sheetId="5" sqref="P806" start="0" length="0">
      <dxf>
        <font>
          <sz val="11"/>
          <color rgb="FF000000"/>
          <name val="Calibri"/>
          <family val="2"/>
          <scheme val="none"/>
        </font>
      </dxf>
    </rfmt>
    <rfmt sheetId="5" sqref="P807" start="0" length="0">
      <dxf>
        <font>
          <sz val="11"/>
          <color rgb="FF000000"/>
          <name val="Calibri"/>
          <family val="2"/>
          <scheme val="none"/>
        </font>
      </dxf>
    </rfmt>
    <rfmt sheetId="5" sqref="P808" start="0" length="0">
      <dxf>
        <font>
          <sz val="11"/>
          <color rgb="FF000000"/>
          <name val="Calibri"/>
          <family val="2"/>
          <scheme val="none"/>
        </font>
      </dxf>
    </rfmt>
    <rfmt sheetId="5" sqref="P809" start="0" length="0">
      <dxf>
        <font>
          <sz val="11"/>
          <color rgb="FF000000"/>
          <name val="Calibri"/>
          <family val="2"/>
          <scheme val="none"/>
        </font>
      </dxf>
    </rfmt>
    <rfmt sheetId="5" sqref="P810" start="0" length="0">
      <dxf>
        <font>
          <sz val="11"/>
          <color rgb="FF000000"/>
          <name val="Calibri"/>
          <family val="2"/>
          <scheme val="none"/>
        </font>
      </dxf>
    </rfmt>
    <rfmt sheetId="5" sqref="P811" start="0" length="0">
      <dxf>
        <font>
          <sz val="11"/>
          <color rgb="FF000000"/>
          <name val="Calibri"/>
          <family val="2"/>
          <scheme val="none"/>
        </font>
      </dxf>
    </rfmt>
    <rfmt sheetId="5" sqref="P812" start="0" length="0">
      <dxf>
        <font>
          <sz val="11"/>
          <color rgb="FF000000"/>
          <name val="Calibri"/>
          <family val="2"/>
          <scheme val="none"/>
        </font>
      </dxf>
    </rfmt>
    <rfmt sheetId="5" sqref="P813" start="0" length="0">
      <dxf>
        <font>
          <sz val="11"/>
          <color rgb="FF000000"/>
          <name val="Calibri"/>
          <family val="2"/>
          <scheme val="none"/>
        </font>
      </dxf>
    </rfmt>
    <rfmt sheetId="5" sqref="P814" start="0" length="0">
      <dxf>
        <font>
          <sz val="11"/>
          <color rgb="FF000000"/>
          <name val="Calibri"/>
          <family val="2"/>
          <scheme val="none"/>
        </font>
      </dxf>
    </rfmt>
    <rfmt sheetId="5" sqref="P815" start="0" length="0">
      <dxf>
        <font>
          <sz val="11"/>
          <color rgb="FF000000"/>
          <name val="Calibri"/>
          <family val="2"/>
          <scheme val="none"/>
        </font>
      </dxf>
    </rfmt>
    <rfmt sheetId="5" sqref="P816" start="0" length="0">
      <dxf>
        <font>
          <sz val="11"/>
          <color rgb="FF000000"/>
          <name val="Calibri"/>
          <family val="2"/>
          <scheme val="none"/>
        </font>
      </dxf>
    </rfmt>
    <rfmt sheetId="5" sqref="P817" start="0" length="0">
      <dxf>
        <font>
          <sz val="11"/>
          <color rgb="FF000000"/>
          <name val="Calibri"/>
          <family val="2"/>
          <scheme val="none"/>
        </font>
      </dxf>
    </rfmt>
    <rfmt sheetId="5" sqref="P818" start="0" length="0">
      <dxf>
        <font>
          <sz val="11"/>
          <color rgb="FF000000"/>
          <name val="Calibri"/>
          <family val="2"/>
          <scheme val="none"/>
        </font>
      </dxf>
    </rfmt>
    <rfmt sheetId="5" sqref="P819" start="0" length="0">
      <dxf>
        <font>
          <sz val="11"/>
          <color rgb="FF000000"/>
          <name val="Calibri"/>
          <family val="2"/>
          <scheme val="none"/>
        </font>
      </dxf>
    </rfmt>
    <rfmt sheetId="5" sqref="P820" start="0" length="0">
      <dxf>
        <font>
          <sz val="11"/>
          <color rgb="FF000000"/>
          <name val="Calibri"/>
          <family val="2"/>
          <scheme val="none"/>
        </font>
      </dxf>
    </rfmt>
    <rfmt sheetId="5" sqref="P821" start="0" length="0">
      <dxf>
        <font>
          <sz val="11"/>
          <color rgb="FF000000"/>
          <name val="Calibri"/>
          <family val="2"/>
          <scheme val="none"/>
        </font>
      </dxf>
    </rfmt>
    <rfmt sheetId="5" sqref="P822" start="0" length="0">
      <dxf>
        <font>
          <sz val="11"/>
          <color rgb="FF000000"/>
          <name val="Calibri"/>
          <family val="2"/>
          <scheme val="none"/>
        </font>
      </dxf>
    </rfmt>
    <rfmt sheetId="5" sqref="P823" start="0" length="0">
      <dxf>
        <font>
          <sz val="11"/>
          <color rgb="FF000000"/>
          <name val="Calibri"/>
          <family val="2"/>
          <scheme val="none"/>
        </font>
      </dxf>
    </rfmt>
    <rfmt sheetId="5" sqref="P824" start="0" length="0">
      <dxf>
        <font>
          <sz val="11"/>
          <color rgb="FF000000"/>
          <name val="Calibri"/>
          <family val="2"/>
          <scheme val="none"/>
        </font>
      </dxf>
    </rfmt>
    <rfmt sheetId="5" sqref="P825" start="0" length="0">
      <dxf>
        <font>
          <sz val="11"/>
          <color rgb="FF000000"/>
          <name val="Calibri"/>
          <family val="2"/>
          <scheme val="none"/>
        </font>
      </dxf>
    </rfmt>
    <rfmt sheetId="5" sqref="P826" start="0" length="0">
      <dxf>
        <font>
          <sz val="11"/>
          <color rgb="FF000000"/>
          <name val="Calibri"/>
          <family val="2"/>
          <scheme val="none"/>
        </font>
      </dxf>
    </rfmt>
    <rfmt sheetId="5" sqref="P827" start="0" length="0">
      <dxf>
        <font>
          <sz val="11"/>
          <color rgb="FF000000"/>
          <name val="Calibri"/>
          <family val="2"/>
          <scheme val="none"/>
        </font>
      </dxf>
    </rfmt>
    <rfmt sheetId="5" sqref="P828" start="0" length="0">
      <dxf>
        <font>
          <sz val="11"/>
          <color rgb="FF000000"/>
          <name val="Calibri"/>
          <family val="2"/>
          <scheme val="none"/>
        </font>
      </dxf>
    </rfmt>
    <rfmt sheetId="5" sqref="P829" start="0" length="0">
      <dxf>
        <font>
          <sz val="11"/>
          <color rgb="FF000000"/>
          <name val="Calibri"/>
          <family val="2"/>
          <scheme val="none"/>
        </font>
      </dxf>
    </rfmt>
    <rfmt sheetId="5" sqref="P830" start="0" length="0">
      <dxf>
        <font>
          <sz val="11"/>
          <color rgb="FF000000"/>
          <name val="Calibri"/>
          <family val="2"/>
          <scheme val="none"/>
        </font>
      </dxf>
    </rfmt>
    <rfmt sheetId="5" sqref="P831" start="0" length="0">
      <dxf>
        <font>
          <sz val="11"/>
          <color rgb="FF000000"/>
          <name val="Calibri"/>
          <family val="2"/>
          <scheme val="none"/>
        </font>
      </dxf>
    </rfmt>
    <rfmt sheetId="5" sqref="P832" start="0" length="0">
      <dxf>
        <font>
          <sz val="11"/>
          <color rgb="FF000000"/>
          <name val="Calibri"/>
          <family val="2"/>
          <scheme val="none"/>
        </font>
      </dxf>
    </rfmt>
    <rfmt sheetId="5" sqref="P833" start="0" length="0">
      <dxf>
        <font>
          <sz val="11"/>
          <color rgb="FF000000"/>
          <name val="Calibri"/>
          <family val="2"/>
          <scheme val="none"/>
        </font>
      </dxf>
    </rfmt>
    <rfmt sheetId="5" sqref="P834" start="0" length="0">
      <dxf>
        <font>
          <sz val="11"/>
          <color rgb="FF000000"/>
          <name val="Calibri"/>
          <family val="2"/>
          <scheme val="none"/>
        </font>
      </dxf>
    </rfmt>
    <rfmt sheetId="5" sqref="P835" start="0" length="0">
      <dxf>
        <font>
          <sz val="11"/>
          <color rgb="FF000000"/>
          <name val="Calibri"/>
          <family val="2"/>
          <scheme val="none"/>
        </font>
      </dxf>
    </rfmt>
    <rfmt sheetId="5" sqref="P836" start="0" length="0">
      <dxf>
        <font>
          <sz val="11"/>
          <color rgb="FF000000"/>
          <name val="Calibri"/>
          <family val="2"/>
          <scheme val="none"/>
        </font>
      </dxf>
    </rfmt>
    <rfmt sheetId="5" sqref="P837" start="0" length="0">
      <dxf>
        <font>
          <sz val="11"/>
          <color rgb="FF000000"/>
          <name val="Calibri"/>
          <family val="2"/>
          <scheme val="none"/>
        </font>
      </dxf>
    </rfmt>
    <rfmt sheetId="5" sqref="P838" start="0" length="0">
      <dxf>
        <font>
          <sz val="11"/>
          <color rgb="FF000000"/>
          <name val="Calibri"/>
          <family val="2"/>
          <scheme val="none"/>
        </font>
      </dxf>
    </rfmt>
    <rfmt sheetId="5" sqref="P839" start="0" length="0">
      <dxf>
        <font>
          <sz val="11"/>
          <color rgb="FF000000"/>
          <name val="Calibri"/>
          <family val="2"/>
          <scheme val="none"/>
        </font>
      </dxf>
    </rfmt>
    <rfmt sheetId="5" sqref="P840" start="0" length="0">
      <dxf>
        <font>
          <sz val="11"/>
          <color rgb="FF000000"/>
          <name val="Calibri"/>
          <family val="2"/>
          <scheme val="none"/>
        </font>
      </dxf>
    </rfmt>
    <rfmt sheetId="5" sqref="P841" start="0" length="0">
      <dxf>
        <font>
          <sz val="11"/>
          <color rgb="FF000000"/>
          <name val="Calibri"/>
          <family val="2"/>
          <scheme val="none"/>
        </font>
      </dxf>
    </rfmt>
    <rfmt sheetId="5" sqref="P842" start="0" length="0">
      <dxf>
        <font>
          <sz val="11"/>
          <color rgb="FF000000"/>
          <name val="Calibri"/>
          <family val="2"/>
          <scheme val="none"/>
        </font>
      </dxf>
    </rfmt>
    <rfmt sheetId="5" sqref="P843" start="0" length="0">
      <dxf>
        <font>
          <sz val="11"/>
          <color rgb="FF000000"/>
          <name val="Calibri"/>
          <family val="2"/>
          <scheme val="none"/>
        </font>
      </dxf>
    </rfmt>
    <rfmt sheetId="5" sqref="P844" start="0" length="0">
      <dxf>
        <font>
          <sz val="11"/>
          <color rgb="FF000000"/>
          <name val="Calibri"/>
          <family val="2"/>
          <scheme val="none"/>
        </font>
      </dxf>
    </rfmt>
    <rfmt sheetId="5" sqref="P845" start="0" length="0">
      <dxf>
        <font>
          <sz val="11"/>
          <color rgb="FF000000"/>
          <name val="Calibri"/>
          <family val="2"/>
          <scheme val="none"/>
        </font>
      </dxf>
    </rfmt>
    <rfmt sheetId="5" sqref="P846" start="0" length="0">
      <dxf>
        <font>
          <sz val="11"/>
          <color rgb="FF000000"/>
          <name val="Calibri"/>
          <family val="2"/>
          <scheme val="none"/>
        </font>
      </dxf>
    </rfmt>
    <rfmt sheetId="5" sqref="P847" start="0" length="0">
      <dxf>
        <font>
          <sz val="11"/>
          <color rgb="FF000000"/>
          <name val="Calibri"/>
          <family val="2"/>
          <scheme val="none"/>
        </font>
      </dxf>
    </rfmt>
    <rfmt sheetId="5" sqref="P848" start="0" length="0">
      <dxf>
        <font>
          <sz val="11"/>
          <color rgb="FF000000"/>
          <name val="Calibri"/>
          <family val="2"/>
          <scheme val="none"/>
        </font>
      </dxf>
    </rfmt>
    <rfmt sheetId="5" sqref="P849" start="0" length="0">
      <dxf>
        <font>
          <sz val="11"/>
          <color rgb="FF000000"/>
          <name val="Calibri"/>
          <family val="2"/>
          <scheme val="none"/>
        </font>
      </dxf>
    </rfmt>
    <rfmt sheetId="5" sqref="P850" start="0" length="0">
      <dxf>
        <font>
          <sz val="11"/>
          <color rgb="FF000000"/>
          <name val="Calibri"/>
          <family val="2"/>
          <scheme val="none"/>
        </font>
      </dxf>
    </rfmt>
    <rfmt sheetId="5" sqref="P851" start="0" length="0">
      <dxf>
        <font>
          <sz val="11"/>
          <color rgb="FF000000"/>
          <name val="Calibri"/>
          <family val="2"/>
          <scheme val="none"/>
        </font>
      </dxf>
    </rfmt>
    <rfmt sheetId="5" sqref="P852" start="0" length="0">
      <dxf>
        <font>
          <sz val="11"/>
          <color rgb="FF000000"/>
          <name val="Calibri"/>
          <family val="2"/>
          <scheme val="none"/>
        </font>
      </dxf>
    </rfmt>
    <rfmt sheetId="5" sqref="P853" start="0" length="0">
      <dxf>
        <font>
          <sz val="11"/>
          <color rgb="FF000000"/>
          <name val="Calibri"/>
          <family val="2"/>
          <scheme val="none"/>
        </font>
      </dxf>
    </rfmt>
    <rfmt sheetId="5" sqref="P854" start="0" length="0">
      <dxf>
        <font>
          <sz val="11"/>
          <color rgb="FF000000"/>
          <name val="Calibri"/>
          <family val="2"/>
          <scheme val="none"/>
        </font>
      </dxf>
    </rfmt>
    <rfmt sheetId="5" sqref="P855" start="0" length="0">
      <dxf>
        <font>
          <sz val="11"/>
          <color rgb="FF000000"/>
          <name val="Calibri"/>
          <family val="2"/>
          <scheme val="none"/>
        </font>
      </dxf>
    </rfmt>
    <rfmt sheetId="5" sqref="P856" start="0" length="0">
      <dxf>
        <font>
          <sz val="11"/>
          <color rgb="FF000000"/>
          <name val="Calibri"/>
          <family val="2"/>
          <scheme val="none"/>
        </font>
      </dxf>
    </rfmt>
    <rfmt sheetId="5" sqref="P857" start="0" length="0">
      <dxf>
        <font>
          <sz val="11"/>
          <color rgb="FF000000"/>
          <name val="Calibri"/>
          <family val="2"/>
          <scheme val="none"/>
        </font>
      </dxf>
    </rfmt>
    <rfmt sheetId="5" sqref="P858" start="0" length="0">
      <dxf>
        <font>
          <sz val="11"/>
          <color rgb="FF000000"/>
          <name val="Calibri"/>
          <family val="2"/>
          <scheme val="none"/>
        </font>
      </dxf>
    </rfmt>
    <rfmt sheetId="5" sqref="P859" start="0" length="0">
      <dxf>
        <font>
          <sz val="11"/>
          <color rgb="FF000000"/>
          <name val="Calibri"/>
          <family val="2"/>
          <scheme val="none"/>
        </font>
      </dxf>
    </rfmt>
    <rfmt sheetId="5" sqref="P860" start="0" length="0">
      <dxf>
        <font>
          <sz val="11"/>
          <color rgb="FF000000"/>
          <name val="Calibri"/>
          <family val="2"/>
          <scheme val="none"/>
        </font>
      </dxf>
    </rfmt>
    <rfmt sheetId="5" sqref="P861" start="0" length="0">
      <dxf>
        <font>
          <sz val="11"/>
          <color rgb="FF000000"/>
          <name val="Calibri"/>
          <family val="2"/>
          <scheme val="none"/>
        </font>
      </dxf>
    </rfmt>
    <rfmt sheetId="5" sqref="P862" start="0" length="0">
      <dxf>
        <font>
          <sz val="11"/>
          <color rgb="FF000000"/>
          <name val="Calibri"/>
          <family val="2"/>
          <scheme val="none"/>
        </font>
      </dxf>
    </rfmt>
    <rfmt sheetId="5" sqref="P863" start="0" length="0">
      <dxf>
        <font>
          <sz val="11"/>
          <color rgb="FF000000"/>
          <name val="Calibri"/>
          <family val="2"/>
          <scheme val="none"/>
        </font>
      </dxf>
    </rfmt>
    <rfmt sheetId="5" sqref="P864" start="0" length="0">
      <dxf>
        <font>
          <sz val="11"/>
          <color rgb="FF000000"/>
          <name val="Calibri"/>
          <family val="2"/>
          <scheme val="none"/>
        </font>
      </dxf>
    </rfmt>
    <rfmt sheetId="5" sqref="P865" start="0" length="0">
      <dxf>
        <font>
          <sz val="11"/>
          <color rgb="FF000000"/>
          <name val="Calibri"/>
          <family val="2"/>
          <scheme val="none"/>
        </font>
      </dxf>
    </rfmt>
    <rfmt sheetId="5" sqref="P866" start="0" length="0">
      <dxf>
        <font>
          <sz val="11"/>
          <color rgb="FF000000"/>
          <name val="Calibri"/>
          <family val="2"/>
          <scheme val="none"/>
        </font>
      </dxf>
    </rfmt>
    <rfmt sheetId="5" sqref="P867" start="0" length="0">
      <dxf>
        <font>
          <sz val="11"/>
          <color rgb="FF000000"/>
          <name val="Calibri"/>
          <family val="2"/>
          <scheme val="none"/>
        </font>
      </dxf>
    </rfmt>
    <rfmt sheetId="5" sqref="P868" start="0" length="0">
      <dxf>
        <font>
          <sz val="11"/>
          <color rgb="FF000000"/>
          <name val="Calibri"/>
          <family val="2"/>
          <scheme val="none"/>
        </font>
      </dxf>
    </rfmt>
    <rfmt sheetId="5" sqref="P869" start="0" length="0">
      <dxf>
        <font>
          <sz val="11"/>
          <color rgb="FF000000"/>
          <name val="Calibri"/>
          <family val="2"/>
          <scheme val="none"/>
        </font>
      </dxf>
    </rfmt>
    <rfmt sheetId="5" sqref="P870" start="0" length="0">
      <dxf>
        <font>
          <sz val="11"/>
          <color rgb="FF000000"/>
          <name val="Calibri"/>
          <family val="2"/>
          <scheme val="none"/>
        </font>
      </dxf>
    </rfmt>
    <rfmt sheetId="5" sqref="P871" start="0" length="0">
      <dxf>
        <font>
          <sz val="11"/>
          <color rgb="FF000000"/>
          <name val="Calibri"/>
          <family val="2"/>
          <scheme val="none"/>
        </font>
      </dxf>
    </rfmt>
    <rfmt sheetId="5" sqref="P872" start="0" length="0">
      <dxf>
        <font>
          <sz val="11"/>
          <color rgb="FF000000"/>
          <name val="Calibri"/>
          <family val="2"/>
          <scheme val="none"/>
        </font>
      </dxf>
    </rfmt>
    <rfmt sheetId="5" sqref="P873" start="0" length="0">
      <dxf>
        <font>
          <sz val="11"/>
          <color rgb="FF000000"/>
          <name val="Calibri"/>
          <family val="2"/>
          <scheme val="none"/>
        </font>
      </dxf>
    </rfmt>
    <rfmt sheetId="5" sqref="P874" start="0" length="0">
      <dxf>
        <font>
          <sz val="11"/>
          <color rgb="FF000000"/>
          <name val="Calibri"/>
          <family val="2"/>
          <scheme val="none"/>
        </font>
      </dxf>
    </rfmt>
    <rfmt sheetId="5" sqref="P875" start="0" length="0">
      <dxf>
        <font>
          <sz val="11"/>
          <color rgb="FF000000"/>
          <name val="Calibri"/>
          <family val="2"/>
          <scheme val="none"/>
        </font>
      </dxf>
    </rfmt>
    <rfmt sheetId="5" sqref="P876" start="0" length="0">
      <dxf>
        <font>
          <sz val="11"/>
          <color rgb="FF000000"/>
          <name val="Calibri"/>
          <family val="2"/>
          <scheme val="none"/>
        </font>
      </dxf>
    </rfmt>
    <rfmt sheetId="5" sqref="P877" start="0" length="0">
      <dxf>
        <font>
          <sz val="11"/>
          <color rgb="FF000000"/>
          <name val="Calibri"/>
          <family val="2"/>
          <scheme val="none"/>
        </font>
      </dxf>
    </rfmt>
    <rfmt sheetId="5" sqref="P878" start="0" length="0">
      <dxf>
        <font>
          <sz val="11"/>
          <color rgb="FF000000"/>
          <name val="Calibri"/>
          <family val="2"/>
          <scheme val="none"/>
        </font>
      </dxf>
    </rfmt>
    <rfmt sheetId="5" sqref="P879" start="0" length="0">
      <dxf>
        <font>
          <sz val="11"/>
          <color rgb="FF000000"/>
          <name val="Calibri"/>
          <family val="2"/>
          <scheme val="none"/>
        </font>
      </dxf>
    </rfmt>
    <rfmt sheetId="5" sqref="P880" start="0" length="0">
      <dxf>
        <font>
          <sz val="11"/>
          <color rgb="FF000000"/>
          <name val="Calibri"/>
          <family val="2"/>
          <scheme val="none"/>
        </font>
      </dxf>
    </rfmt>
    <rfmt sheetId="5" sqref="P881" start="0" length="0">
      <dxf>
        <font>
          <sz val="11"/>
          <color rgb="FF000000"/>
          <name val="Calibri"/>
          <family val="2"/>
          <scheme val="none"/>
        </font>
      </dxf>
    </rfmt>
    <rfmt sheetId="5" sqref="P882" start="0" length="0">
      <dxf>
        <font>
          <sz val="11"/>
          <color rgb="FF000000"/>
          <name val="Calibri"/>
          <family val="2"/>
          <scheme val="none"/>
        </font>
      </dxf>
    </rfmt>
    <rfmt sheetId="5" sqref="P883" start="0" length="0">
      <dxf>
        <font>
          <sz val="11"/>
          <color rgb="FF000000"/>
          <name val="Calibri"/>
          <family val="2"/>
          <scheme val="none"/>
        </font>
      </dxf>
    </rfmt>
    <rfmt sheetId="5" sqref="P884" start="0" length="0">
      <dxf>
        <font>
          <sz val="11"/>
          <color rgb="FF000000"/>
          <name val="Calibri"/>
          <family val="2"/>
          <scheme val="none"/>
        </font>
      </dxf>
    </rfmt>
    <rfmt sheetId="5" sqref="P885" start="0" length="0">
      <dxf>
        <font>
          <sz val="11"/>
          <color rgb="FF000000"/>
          <name val="Calibri"/>
          <family val="2"/>
          <scheme val="none"/>
        </font>
      </dxf>
    </rfmt>
    <rfmt sheetId="5" sqref="P886" start="0" length="0">
      <dxf>
        <font>
          <sz val="11"/>
          <color rgb="FF000000"/>
          <name val="Calibri"/>
          <family val="2"/>
          <scheme val="none"/>
        </font>
      </dxf>
    </rfmt>
    <rfmt sheetId="5" sqref="P887" start="0" length="0">
      <dxf>
        <font>
          <sz val="11"/>
          <color rgb="FF000000"/>
          <name val="Calibri"/>
          <family val="2"/>
          <scheme val="none"/>
        </font>
      </dxf>
    </rfmt>
    <rfmt sheetId="5" sqref="P888" start="0" length="0">
      <dxf>
        <font>
          <sz val="11"/>
          <color rgb="FF000000"/>
          <name val="Calibri"/>
          <family val="2"/>
          <scheme val="none"/>
        </font>
      </dxf>
    </rfmt>
    <rfmt sheetId="5" sqref="P889" start="0" length="0">
      <dxf>
        <font>
          <sz val="11"/>
          <color rgb="FF000000"/>
          <name val="Calibri"/>
          <family val="2"/>
          <scheme val="none"/>
        </font>
      </dxf>
    </rfmt>
    <rfmt sheetId="5" sqref="P890" start="0" length="0">
      <dxf>
        <font>
          <sz val="11"/>
          <color rgb="FF000000"/>
          <name val="Calibri"/>
          <family val="2"/>
          <scheme val="none"/>
        </font>
      </dxf>
    </rfmt>
    <rfmt sheetId="5" sqref="P891" start="0" length="0">
      <dxf>
        <font>
          <sz val="11"/>
          <color rgb="FF000000"/>
          <name val="Calibri"/>
          <family val="2"/>
          <scheme val="none"/>
        </font>
      </dxf>
    </rfmt>
    <rfmt sheetId="5" sqref="P892" start="0" length="0">
      <dxf>
        <font>
          <sz val="11"/>
          <color rgb="FF000000"/>
          <name val="Calibri"/>
          <family val="2"/>
          <scheme val="none"/>
        </font>
      </dxf>
    </rfmt>
    <rfmt sheetId="5" sqref="P893" start="0" length="0">
      <dxf>
        <font>
          <sz val="11"/>
          <color rgb="FF000000"/>
          <name val="Calibri"/>
          <family val="2"/>
          <scheme val="none"/>
        </font>
      </dxf>
    </rfmt>
    <rfmt sheetId="5" sqref="P894" start="0" length="0">
      <dxf>
        <font>
          <sz val="11"/>
          <color rgb="FF000000"/>
          <name val="Calibri"/>
          <family val="2"/>
          <scheme val="none"/>
        </font>
      </dxf>
    </rfmt>
    <rfmt sheetId="5" sqref="P895" start="0" length="0">
      <dxf>
        <font>
          <sz val="11"/>
          <color rgb="FF000000"/>
          <name val="Calibri"/>
          <family val="2"/>
          <scheme val="none"/>
        </font>
      </dxf>
    </rfmt>
    <rfmt sheetId="5" sqref="P896" start="0" length="0">
      <dxf>
        <font>
          <sz val="11"/>
          <color rgb="FF000000"/>
          <name val="Calibri"/>
          <family val="2"/>
          <scheme val="none"/>
        </font>
      </dxf>
    </rfmt>
    <rfmt sheetId="5" sqref="P897" start="0" length="0">
      <dxf>
        <font>
          <sz val="11"/>
          <color rgb="FF000000"/>
          <name val="Calibri"/>
          <family val="2"/>
          <scheme val="none"/>
        </font>
      </dxf>
    </rfmt>
    <rfmt sheetId="5" sqref="P898" start="0" length="0">
      <dxf>
        <font>
          <sz val="11"/>
          <color rgb="FF000000"/>
          <name val="Calibri"/>
          <family val="2"/>
          <scheme val="none"/>
        </font>
      </dxf>
    </rfmt>
    <rfmt sheetId="5" sqref="P899" start="0" length="0">
      <dxf>
        <font>
          <sz val="11"/>
          <color rgb="FF000000"/>
          <name val="Calibri"/>
          <family val="2"/>
          <scheme val="none"/>
        </font>
      </dxf>
    </rfmt>
    <rfmt sheetId="5" sqref="P900" start="0" length="0">
      <dxf>
        <font>
          <sz val="11"/>
          <color rgb="FF000000"/>
          <name val="Calibri"/>
          <family val="2"/>
          <scheme val="none"/>
        </font>
      </dxf>
    </rfmt>
    <rfmt sheetId="5" sqref="P901" start="0" length="0">
      <dxf>
        <font>
          <sz val="11"/>
          <color rgb="FF000000"/>
          <name val="Calibri"/>
          <family val="2"/>
          <scheme val="none"/>
        </font>
      </dxf>
    </rfmt>
    <rfmt sheetId="5" sqref="P902" start="0" length="0">
      <dxf>
        <font>
          <sz val="11"/>
          <color rgb="FF000000"/>
          <name val="Calibri"/>
          <family val="2"/>
          <scheme val="none"/>
        </font>
      </dxf>
    </rfmt>
    <rfmt sheetId="5" sqref="P903" start="0" length="0">
      <dxf>
        <font>
          <sz val="11"/>
          <color rgb="FF000000"/>
          <name val="Calibri"/>
          <family val="2"/>
          <scheme val="none"/>
        </font>
      </dxf>
    </rfmt>
    <rfmt sheetId="5" sqref="P904" start="0" length="0">
      <dxf>
        <font>
          <sz val="11"/>
          <color rgb="FF000000"/>
          <name val="Calibri"/>
          <family val="2"/>
          <scheme val="none"/>
        </font>
      </dxf>
    </rfmt>
    <rfmt sheetId="5" sqref="P905" start="0" length="0">
      <dxf>
        <font>
          <sz val="11"/>
          <color rgb="FF000000"/>
          <name val="Calibri"/>
          <family val="2"/>
          <scheme val="none"/>
        </font>
      </dxf>
    </rfmt>
    <rfmt sheetId="5" sqref="P906" start="0" length="0">
      <dxf>
        <font>
          <sz val="11"/>
          <color rgb="FF000000"/>
          <name val="Calibri"/>
          <family val="2"/>
          <scheme val="none"/>
        </font>
      </dxf>
    </rfmt>
    <rfmt sheetId="5" sqref="P907" start="0" length="0">
      <dxf>
        <font>
          <sz val="11"/>
          <color rgb="FF000000"/>
          <name val="Calibri"/>
          <family val="2"/>
          <scheme val="none"/>
        </font>
      </dxf>
    </rfmt>
    <rfmt sheetId="5" sqref="P908" start="0" length="0">
      <dxf>
        <font>
          <sz val="11"/>
          <color rgb="FF000000"/>
          <name val="Calibri"/>
          <family val="2"/>
          <scheme val="none"/>
        </font>
      </dxf>
    </rfmt>
    <rfmt sheetId="5" sqref="P909" start="0" length="0">
      <dxf>
        <font>
          <sz val="11"/>
          <color rgb="FF000000"/>
          <name val="Calibri"/>
          <family val="2"/>
          <scheme val="none"/>
        </font>
      </dxf>
    </rfmt>
    <rfmt sheetId="5" sqref="P910" start="0" length="0">
      <dxf>
        <font>
          <sz val="11"/>
          <color rgb="FF000000"/>
          <name val="Calibri"/>
          <family val="2"/>
          <scheme val="none"/>
        </font>
      </dxf>
    </rfmt>
    <rfmt sheetId="5" sqref="P911" start="0" length="0">
      <dxf>
        <font>
          <sz val="11"/>
          <color rgb="FF000000"/>
          <name val="Calibri"/>
          <family val="2"/>
          <scheme val="none"/>
        </font>
      </dxf>
    </rfmt>
    <rfmt sheetId="5" sqref="P912" start="0" length="0">
      <dxf>
        <font>
          <sz val="11"/>
          <color rgb="FF000000"/>
          <name val="Calibri"/>
          <family val="2"/>
          <scheme val="none"/>
        </font>
      </dxf>
    </rfmt>
    <rfmt sheetId="5" sqref="P913" start="0" length="0">
      <dxf>
        <font>
          <sz val="11"/>
          <color rgb="FF000000"/>
          <name val="Calibri"/>
          <family val="2"/>
          <scheme val="none"/>
        </font>
      </dxf>
    </rfmt>
    <rfmt sheetId="5" sqref="P914" start="0" length="0">
      <dxf>
        <font>
          <sz val="11"/>
          <color rgb="FF000000"/>
          <name val="Calibri"/>
          <family val="2"/>
          <scheme val="none"/>
        </font>
      </dxf>
    </rfmt>
    <rfmt sheetId="5" sqref="P915" start="0" length="0">
      <dxf>
        <font>
          <sz val="11"/>
          <color rgb="FF000000"/>
          <name val="Calibri"/>
          <family val="2"/>
          <scheme val="none"/>
        </font>
      </dxf>
    </rfmt>
    <rfmt sheetId="5" sqref="P916" start="0" length="0">
      <dxf>
        <font>
          <sz val="11"/>
          <color rgb="FF000000"/>
          <name val="Calibri"/>
          <family val="2"/>
          <scheme val="none"/>
        </font>
      </dxf>
    </rfmt>
    <rfmt sheetId="5" sqref="P917" start="0" length="0">
      <dxf>
        <font>
          <sz val="11"/>
          <color rgb="FF000000"/>
          <name val="Calibri"/>
          <family val="2"/>
          <scheme val="none"/>
        </font>
      </dxf>
    </rfmt>
    <rfmt sheetId="5" sqref="P918" start="0" length="0">
      <dxf>
        <font>
          <sz val="11"/>
          <color rgb="FF000000"/>
          <name val="Calibri"/>
          <family val="2"/>
          <scheme val="none"/>
        </font>
      </dxf>
    </rfmt>
    <rfmt sheetId="5" sqref="P919" start="0" length="0">
      <dxf>
        <font>
          <sz val="11"/>
          <color rgb="FF000000"/>
          <name val="Calibri"/>
          <family val="2"/>
          <scheme val="none"/>
        </font>
      </dxf>
    </rfmt>
    <rfmt sheetId="5" sqref="P920" start="0" length="0">
      <dxf>
        <font>
          <sz val="11"/>
          <color rgb="FF000000"/>
          <name val="Calibri"/>
          <family val="2"/>
          <scheme val="none"/>
        </font>
      </dxf>
    </rfmt>
    <rfmt sheetId="5" sqref="P921" start="0" length="0">
      <dxf>
        <font>
          <sz val="11"/>
          <color rgb="FF000000"/>
          <name val="Calibri"/>
          <family val="2"/>
          <scheme val="none"/>
        </font>
      </dxf>
    </rfmt>
    <rfmt sheetId="5" sqref="P922" start="0" length="0">
      <dxf>
        <font>
          <sz val="11"/>
          <color rgb="FF000000"/>
          <name val="Calibri"/>
          <family val="2"/>
          <scheme val="none"/>
        </font>
      </dxf>
    </rfmt>
    <rfmt sheetId="5" sqref="P923" start="0" length="0">
      <dxf>
        <font>
          <sz val="11"/>
          <color rgb="FF000000"/>
          <name val="Calibri"/>
          <family val="2"/>
          <scheme val="none"/>
        </font>
      </dxf>
    </rfmt>
    <rfmt sheetId="5" sqref="P924" start="0" length="0">
      <dxf>
        <font>
          <sz val="11"/>
          <color rgb="FF000000"/>
          <name val="Calibri"/>
          <family val="2"/>
          <scheme val="none"/>
        </font>
      </dxf>
    </rfmt>
    <rfmt sheetId="5" sqref="P925" start="0" length="0">
      <dxf>
        <font>
          <sz val="11"/>
          <color rgb="FF000000"/>
          <name val="Calibri"/>
          <family val="2"/>
          <scheme val="none"/>
        </font>
      </dxf>
    </rfmt>
    <rfmt sheetId="5" sqref="P926" start="0" length="0">
      <dxf>
        <font>
          <sz val="11"/>
          <color rgb="FF000000"/>
          <name val="Calibri"/>
          <family val="2"/>
          <scheme val="none"/>
        </font>
      </dxf>
    </rfmt>
    <rfmt sheetId="5" sqref="P927" start="0" length="0">
      <dxf>
        <font>
          <sz val="11"/>
          <color rgb="FF000000"/>
          <name val="Calibri"/>
          <family val="2"/>
          <scheme val="none"/>
        </font>
      </dxf>
    </rfmt>
    <rfmt sheetId="5" sqref="P928" start="0" length="0">
      <dxf>
        <font>
          <sz val="11"/>
          <color rgb="FF000000"/>
          <name val="Calibri"/>
          <family val="2"/>
          <scheme val="none"/>
        </font>
      </dxf>
    </rfmt>
    <rfmt sheetId="5" sqref="P929" start="0" length="0">
      <dxf>
        <font>
          <sz val="11"/>
          <color rgb="FF000000"/>
          <name val="Calibri"/>
          <family val="2"/>
          <scheme val="none"/>
        </font>
      </dxf>
    </rfmt>
    <rfmt sheetId="5" sqref="P930" start="0" length="0">
      <dxf>
        <font>
          <sz val="11"/>
          <color rgb="FF000000"/>
          <name val="Calibri"/>
          <family val="2"/>
          <scheme val="none"/>
        </font>
      </dxf>
    </rfmt>
    <rfmt sheetId="5" sqref="P931" start="0" length="0">
      <dxf>
        <font>
          <sz val="11"/>
          <color rgb="FF000000"/>
          <name val="Calibri"/>
          <family val="2"/>
          <scheme val="none"/>
        </font>
      </dxf>
    </rfmt>
    <rfmt sheetId="5" sqref="P932" start="0" length="0">
      <dxf>
        <font>
          <sz val="11"/>
          <color rgb="FF000000"/>
          <name val="Calibri"/>
          <family val="2"/>
          <scheme val="none"/>
        </font>
      </dxf>
    </rfmt>
    <rfmt sheetId="5" sqref="P933" start="0" length="0">
      <dxf>
        <font>
          <sz val="11"/>
          <color rgb="FF000000"/>
          <name val="Calibri"/>
          <family val="2"/>
          <scheme val="none"/>
        </font>
      </dxf>
    </rfmt>
    <rfmt sheetId="5" sqref="P934" start="0" length="0">
      <dxf>
        <font>
          <sz val="11"/>
          <color rgb="FF000000"/>
          <name val="Calibri"/>
          <family val="2"/>
          <scheme val="none"/>
        </font>
      </dxf>
    </rfmt>
    <rfmt sheetId="5" sqref="P935" start="0" length="0">
      <dxf>
        <font>
          <sz val="11"/>
          <color rgb="FF000000"/>
          <name val="Calibri"/>
          <family val="2"/>
          <scheme val="none"/>
        </font>
      </dxf>
    </rfmt>
    <rfmt sheetId="5" sqref="P936" start="0" length="0">
      <dxf>
        <font>
          <sz val="11"/>
          <color rgb="FF000000"/>
          <name val="Calibri"/>
          <family val="2"/>
          <scheme val="none"/>
        </font>
      </dxf>
    </rfmt>
    <rfmt sheetId="5" sqref="P937" start="0" length="0">
      <dxf>
        <font>
          <sz val="11"/>
          <color rgb="FF000000"/>
          <name val="Calibri"/>
          <family val="2"/>
          <scheme val="none"/>
        </font>
      </dxf>
    </rfmt>
    <rfmt sheetId="5" sqref="P938" start="0" length="0">
      <dxf>
        <font>
          <sz val="11"/>
          <color rgb="FF000000"/>
          <name val="Calibri"/>
          <family val="2"/>
          <scheme val="none"/>
        </font>
      </dxf>
    </rfmt>
    <rfmt sheetId="5" sqref="P939" start="0" length="0">
      <dxf>
        <font>
          <sz val="11"/>
          <color rgb="FF000000"/>
          <name val="Calibri"/>
          <family val="2"/>
          <scheme val="none"/>
        </font>
      </dxf>
    </rfmt>
    <rfmt sheetId="5" sqref="P940" start="0" length="0">
      <dxf>
        <font>
          <sz val="11"/>
          <color rgb="FF000000"/>
          <name val="Calibri"/>
          <family val="2"/>
          <scheme val="none"/>
        </font>
      </dxf>
    </rfmt>
    <rfmt sheetId="5" sqref="P941" start="0" length="0">
      <dxf>
        <font>
          <sz val="11"/>
          <color rgb="FF000000"/>
          <name val="Calibri"/>
          <family val="2"/>
          <scheme val="none"/>
        </font>
      </dxf>
    </rfmt>
    <rfmt sheetId="5" sqref="P942" start="0" length="0">
      <dxf>
        <font>
          <sz val="11"/>
          <color rgb="FF000000"/>
          <name val="Calibri"/>
          <family val="2"/>
          <scheme val="none"/>
        </font>
      </dxf>
    </rfmt>
    <rfmt sheetId="5" sqref="P943" start="0" length="0">
      <dxf>
        <font>
          <sz val="11"/>
          <color rgb="FF000000"/>
          <name val="Calibri"/>
          <family val="2"/>
          <scheme val="none"/>
        </font>
      </dxf>
    </rfmt>
    <rfmt sheetId="5" sqref="P944" start="0" length="0">
      <dxf>
        <font>
          <sz val="11"/>
          <color rgb="FF000000"/>
          <name val="Calibri"/>
          <family val="2"/>
          <scheme val="none"/>
        </font>
      </dxf>
    </rfmt>
    <rfmt sheetId="5" sqref="P945" start="0" length="0">
      <dxf>
        <font>
          <sz val="11"/>
          <color rgb="FF000000"/>
          <name val="Calibri"/>
          <family val="2"/>
          <scheme val="none"/>
        </font>
      </dxf>
    </rfmt>
    <rfmt sheetId="5" sqref="P946" start="0" length="0">
      <dxf>
        <font>
          <sz val="11"/>
          <color rgb="FF000000"/>
          <name val="Calibri"/>
          <family val="2"/>
          <scheme val="none"/>
        </font>
      </dxf>
    </rfmt>
    <rfmt sheetId="5" sqref="P947" start="0" length="0">
      <dxf>
        <font>
          <sz val="11"/>
          <color rgb="FF000000"/>
          <name val="Calibri"/>
          <family val="2"/>
          <scheme val="none"/>
        </font>
      </dxf>
    </rfmt>
    <rfmt sheetId="5" sqref="P948" start="0" length="0">
      <dxf>
        <font>
          <sz val="11"/>
          <color rgb="FF000000"/>
          <name val="Calibri"/>
          <family val="2"/>
          <scheme val="none"/>
        </font>
      </dxf>
    </rfmt>
    <rfmt sheetId="5" sqref="P949" start="0" length="0">
      <dxf>
        <font>
          <sz val="11"/>
          <color rgb="FF000000"/>
          <name val="Calibri"/>
          <family val="2"/>
          <scheme val="none"/>
        </font>
      </dxf>
    </rfmt>
    <rfmt sheetId="5" sqref="P950" start="0" length="0">
      <dxf>
        <font>
          <sz val="11"/>
          <color rgb="FF000000"/>
          <name val="Calibri"/>
          <family val="2"/>
          <scheme val="none"/>
        </font>
      </dxf>
    </rfmt>
    <rfmt sheetId="5" sqref="P951" start="0" length="0">
      <dxf>
        <font>
          <sz val="11"/>
          <color rgb="FF000000"/>
          <name val="Calibri"/>
          <family val="2"/>
          <scheme val="none"/>
        </font>
      </dxf>
    </rfmt>
    <rfmt sheetId="5" sqref="P952" start="0" length="0">
      <dxf>
        <font>
          <sz val="11"/>
          <color rgb="FF000000"/>
          <name val="Calibri"/>
          <family val="2"/>
          <scheme val="none"/>
        </font>
      </dxf>
    </rfmt>
    <rfmt sheetId="5" sqref="P953" start="0" length="0">
      <dxf>
        <font>
          <sz val="11"/>
          <color rgb="FF000000"/>
          <name val="Calibri"/>
          <family val="2"/>
          <scheme val="none"/>
        </font>
      </dxf>
    </rfmt>
    <rfmt sheetId="5" sqref="P954" start="0" length="0">
      <dxf>
        <font>
          <sz val="11"/>
          <color rgb="FF000000"/>
          <name val="Calibri"/>
          <family val="2"/>
          <scheme val="none"/>
        </font>
      </dxf>
    </rfmt>
    <rfmt sheetId="5" sqref="P955" start="0" length="0">
      <dxf>
        <font>
          <sz val="11"/>
          <color rgb="FF000000"/>
          <name val="Calibri"/>
          <family val="2"/>
          <scheme val="none"/>
        </font>
      </dxf>
    </rfmt>
    <rfmt sheetId="5" sqref="P956" start="0" length="0">
      <dxf>
        <font>
          <sz val="11"/>
          <color rgb="FF000000"/>
          <name val="Calibri"/>
          <family val="2"/>
          <scheme val="none"/>
        </font>
      </dxf>
    </rfmt>
    <rfmt sheetId="5" sqref="P957" start="0" length="0">
      <dxf>
        <font>
          <sz val="11"/>
          <color rgb="FF000000"/>
          <name val="Calibri"/>
          <family val="2"/>
          <scheme val="none"/>
        </font>
      </dxf>
    </rfmt>
    <rfmt sheetId="5" sqref="P958" start="0" length="0">
      <dxf>
        <font>
          <sz val="11"/>
          <color rgb="FF000000"/>
          <name val="Calibri"/>
          <family val="2"/>
          <scheme val="none"/>
        </font>
      </dxf>
    </rfmt>
    <rfmt sheetId="5" sqref="P959" start="0" length="0">
      <dxf>
        <font>
          <sz val="11"/>
          <color rgb="FF000000"/>
          <name val="Calibri"/>
          <family val="2"/>
          <scheme val="none"/>
        </font>
      </dxf>
    </rfmt>
    <rfmt sheetId="5" sqref="P960" start="0" length="0">
      <dxf>
        <font>
          <sz val="11"/>
          <color rgb="FF000000"/>
          <name val="Calibri"/>
          <family val="2"/>
          <scheme val="none"/>
        </font>
      </dxf>
    </rfmt>
    <rfmt sheetId="5" sqref="P961" start="0" length="0">
      <dxf>
        <font>
          <sz val="11"/>
          <color rgb="FF000000"/>
          <name val="Calibri"/>
          <family val="2"/>
          <scheme val="none"/>
        </font>
      </dxf>
    </rfmt>
    <rfmt sheetId="5" sqref="P962" start="0" length="0">
      <dxf>
        <font>
          <sz val="11"/>
          <color rgb="FF000000"/>
          <name val="Calibri"/>
          <family val="2"/>
          <scheme val="none"/>
        </font>
      </dxf>
    </rfmt>
    <rfmt sheetId="5" sqref="P963" start="0" length="0">
      <dxf>
        <font>
          <sz val="11"/>
          <color rgb="FF000000"/>
          <name val="Calibri"/>
          <family val="2"/>
          <scheme val="none"/>
        </font>
      </dxf>
    </rfmt>
    <rfmt sheetId="5" sqref="P964" start="0" length="0">
      <dxf>
        <font>
          <sz val="11"/>
          <color rgb="FF000000"/>
          <name val="Calibri"/>
          <family val="2"/>
          <scheme val="none"/>
        </font>
      </dxf>
    </rfmt>
    <rfmt sheetId="5" sqref="P965" start="0" length="0">
      <dxf>
        <font>
          <sz val="11"/>
          <color rgb="FF000000"/>
          <name val="Calibri"/>
          <family val="2"/>
          <scheme val="none"/>
        </font>
      </dxf>
    </rfmt>
    <rfmt sheetId="5" sqref="P966" start="0" length="0">
      <dxf>
        <font>
          <sz val="11"/>
          <color rgb="FF000000"/>
          <name val="Calibri"/>
          <family val="2"/>
          <scheme val="none"/>
        </font>
      </dxf>
    </rfmt>
    <rfmt sheetId="5" sqref="P967" start="0" length="0">
      <dxf>
        <font>
          <sz val="11"/>
          <color rgb="FF000000"/>
          <name val="Calibri"/>
          <family val="2"/>
          <scheme val="none"/>
        </font>
      </dxf>
    </rfmt>
    <rfmt sheetId="5" sqref="P968" start="0" length="0">
      <dxf>
        <font>
          <sz val="11"/>
          <color rgb="FF000000"/>
          <name val="Calibri"/>
          <family val="2"/>
          <scheme val="none"/>
        </font>
      </dxf>
    </rfmt>
    <rfmt sheetId="5" sqref="P969" start="0" length="0">
      <dxf>
        <font>
          <sz val="11"/>
          <color rgb="FF000000"/>
          <name val="Calibri"/>
          <family val="2"/>
          <scheme val="none"/>
        </font>
      </dxf>
    </rfmt>
    <rfmt sheetId="5" sqref="P970" start="0" length="0">
      <dxf>
        <font>
          <sz val="11"/>
          <color rgb="FF000000"/>
          <name val="Calibri"/>
          <family val="2"/>
          <scheme val="none"/>
        </font>
      </dxf>
    </rfmt>
    <rfmt sheetId="5" sqref="P971" start="0" length="0">
      <dxf>
        <font>
          <sz val="11"/>
          <color rgb="FF000000"/>
          <name val="Calibri"/>
          <family val="2"/>
          <scheme val="none"/>
        </font>
      </dxf>
    </rfmt>
    <rfmt sheetId="5" sqref="P972" start="0" length="0">
      <dxf>
        <font>
          <sz val="11"/>
          <color rgb="FF000000"/>
          <name val="Calibri"/>
          <family val="2"/>
          <scheme val="none"/>
        </font>
      </dxf>
    </rfmt>
    <rfmt sheetId="5" sqref="P973" start="0" length="0">
      <dxf>
        <font>
          <sz val="11"/>
          <color rgb="FF000000"/>
          <name val="Calibri"/>
          <family val="2"/>
          <scheme val="none"/>
        </font>
      </dxf>
    </rfmt>
    <rfmt sheetId="5" sqref="P974" start="0" length="0">
      <dxf>
        <font>
          <sz val="11"/>
          <color rgb="FF000000"/>
          <name val="Calibri"/>
          <family val="2"/>
          <scheme val="none"/>
        </font>
      </dxf>
    </rfmt>
    <rfmt sheetId="5" sqref="P975" start="0" length="0">
      <dxf>
        <font>
          <sz val="11"/>
          <color rgb="FF000000"/>
          <name val="Calibri"/>
          <family val="2"/>
          <scheme val="none"/>
        </font>
      </dxf>
    </rfmt>
    <rfmt sheetId="5" sqref="P976" start="0" length="0">
      <dxf>
        <font>
          <sz val="11"/>
          <color rgb="FF000000"/>
          <name val="Calibri"/>
          <family val="2"/>
          <scheme val="none"/>
        </font>
      </dxf>
    </rfmt>
    <rfmt sheetId="5" sqref="P977" start="0" length="0">
      <dxf>
        <font>
          <sz val="11"/>
          <color rgb="FF000000"/>
          <name val="Calibri"/>
          <family val="2"/>
          <scheme val="none"/>
        </font>
      </dxf>
    </rfmt>
    <rfmt sheetId="5" sqref="P978" start="0" length="0">
      <dxf>
        <font>
          <sz val="11"/>
          <color rgb="FF000000"/>
          <name val="Calibri"/>
          <family val="2"/>
          <scheme val="none"/>
        </font>
      </dxf>
    </rfmt>
    <rfmt sheetId="5" sqref="P979" start="0" length="0">
      <dxf>
        <font>
          <sz val="11"/>
          <color rgb="FF000000"/>
          <name val="Calibri"/>
          <family val="2"/>
          <scheme val="none"/>
        </font>
      </dxf>
    </rfmt>
    <rfmt sheetId="5" sqref="P980" start="0" length="0">
      <dxf>
        <font>
          <sz val="11"/>
          <color rgb="FF000000"/>
          <name val="Calibri"/>
          <family val="2"/>
          <scheme val="none"/>
        </font>
      </dxf>
    </rfmt>
    <rfmt sheetId="5" sqref="P981" start="0" length="0">
      <dxf>
        <font>
          <sz val="11"/>
          <color rgb="FF000000"/>
          <name val="Calibri"/>
          <family val="2"/>
          <scheme val="none"/>
        </font>
      </dxf>
    </rfmt>
    <rfmt sheetId="5" sqref="P982" start="0" length="0">
      <dxf>
        <font>
          <sz val="11"/>
          <color rgb="FF000000"/>
          <name val="Calibri"/>
          <family val="2"/>
          <scheme val="none"/>
        </font>
      </dxf>
    </rfmt>
    <rfmt sheetId="5" sqref="P983" start="0" length="0">
      <dxf>
        <font>
          <sz val="11"/>
          <color rgb="FF000000"/>
          <name val="Calibri"/>
          <family val="2"/>
          <scheme val="none"/>
        </font>
      </dxf>
    </rfmt>
    <rfmt sheetId="5" sqref="P984" start="0" length="0">
      <dxf>
        <font>
          <sz val="11"/>
          <color rgb="FF000000"/>
          <name val="Calibri"/>
          <family val="2"/>
          <scheme val="none"/>
        </font>
      </dxf>
    </rfmt>
    <rfmt sheetId="5" sqref="P985" start="0" length="0">
      <dxf>
        <font>
          <sz val="11"/>
          <color rgb="FF000000"/>
          <name val="Calibri"/>
          <family val="2"/>
          <scheme val="none"/>
        </font>
      </dxf>
    </rfmt>
    <rfmt sheetId="5" sqref="P986" start="0" length="0">
      <dxf>
        <font>
          <sz val="11"/>
          <color rgb="FF000000"/>
          <name val="Calibri"/>
          <family val="2"/>
          <scheme val="none"/>
        </font>
      </dxf>
    </rfmt>
    <rfmt sheetId="5" sqref="P987" start="0" length="0">
      <dxf>
        <font>
          <sz val="11"/>
          <color rgb="FF000000"/>
          <name val="Calibri"/>
          <family val="2"/>
          <scheme val="none"/>
        </font>
      </dxf>
    </rfmt>
    <rfmt sheetId="5" sqref="P988" start="0" length="0">
      <dxf>
        <font>
          <sz val="11"/>
          <color rgb="FF000000"/>
          <name val="Calibri"/>
          <family val="2"/>
          <scheme val="none"/>
        </font>
      </dxf>
    </rfmt>
    <rfmt sheetId="5" sqref="P989" start="0" length="0">
      <dxf>
        <font>
          <sz val="11"/>
          <color rgb="FF000000"/>
          <name val="Calibri"/>
          <family val="2"/>
          <scheme val="none"/>
        </font>
      </dxf>
    </rfmt>
    <rfmt sheetId="5" sqref="P990" start="0" length="0">
      <dxf>
        <font>
          <sz val="11"/>
          <color rgb="FF000000"/>
          <name val="Calibri"/>
          <family val="2"/>
          <scheme val="none"/>
        </font>
      </dxf>
    </rfmt>
    <rfmt sheetId="5" sqref="P991" start="0" length="0">
      <dxf>
        <font>
          <sz val="11"/>
          <color rgb="FF000000"/>
          <name val="Calibri"/>
          <family val="2"/>
          <scheme val="none"/>
        </font>
      </dxf>
    </rfmt>
    <rfmt sheetId="5" sqref="P992" start="0" length="0">
      <dxf>
        <font>
          <sz val="11"/>
          <color rgb="FF000000"/>
          <name val="Calibri"/>
          <family val="2"/>
          <scheme val="none"/>
        </font>
      </dxf>
    </rfmt>
    <rfmt sheetId="5" sqref="P993" start="0" length="0">
      <dxf>
        <font>
          <sz val="11"/>
          <color rgb="FF000000"/>
          <name val="Calibri"/>
          <family val="2"/>
          <scheme val="none"/>
        </font>
      </dxf>
    </rfmt>
    <rfmt sheetId="5" sqref="P994" start="0" length="0">
      <dxf>
        <font>
          <sz val="11"/>
          <color rgb="FF000000"/>
          <name val="Calibri"/>
          <family val="2"/>
          <scheme val="none"/>
        </font>
      </dxf>
    </rfmt>
    <rfmt sheetId="5" sqref="P995" start="0" length="0">
      <dxf>
        <font>
          <sz val="11"/>
          <color rgb="FF000000"/>
          <name val="Calibri"/>
          <family val="2"/>
          <scheme val="none"/>
        </font>
      </dxf>
    </rfmt>
    <rfmt sheetId="5" sqref="P996" start="0" length="0">
      <dxf>
        <font>
          <sz val="11"/>
          <color rgb="FF000000"/>
          <name val="Calibri"/>
          <family val="2"/>
          <scheme val="none"/>
        </font>
      </dxf>
    </rfmt>
    <rfmt sheetId="5" sqref="P997" start="0" length="0">
      <dxf>
        <font>
          <sz val="11"/>
          <color rgb="FF000000"/>
          <name val="Calibri"/>
          <family val="2"/>
          <scheme val="none"/>
        </font>
      </dxf>
    </rfmt>
    <rfmt sheetId="5" sqref="P998" start="0" length="0">
      <dxf>
        <font>
          <sz val="11"/>
          <color rgb="FF000000"/>
          <name val="Calibri"/>
          <family val="2"/>
          <scheme val="none"/>
        </font>
      </dxf>
    </rfmt>
    <rfmt sheetId="5" sqref="P999" start="0" length="0">
      <dxf>
        <font>
          <sz val="11"/>
          <color rgb="FF000000"/>
          <name val="Calibri"/>
          <family val="2"/>
          <scheme val="none"/>
        </font>
      </dxf>
    </rfmt>
    <rfmt sheetId="5" sqref="P1000" start="0" length="0">
      <dxf>
        <font>
          <sz val="11"/>
          <color rgb="FF000000"/>
          <name val="Calibri"/>
          <family val="2"/>
          <scheme val="none"/>
        </font>
      </dxf>
    </rfmt>
    <rfmt sheetId="5" sqref="P1001" start="0" length="0">
      <dxf>
        <font>
          <sz val="11"/>
          <color rgb="FF000000"/>
          <name val="Calibri"/>
          <family val="2"/>
          <scheme val="none"/>
        </font>
      </dxf>
    </rfmt>
  </rm>
  <rrc rId="2613" sId="5" ref="M1:M1048576" action="deleteCol">
    <undo index="65535" exp="area" ref3D="1" dr="$O$1:$O$1048576" dn="Z_845F3A43_EF96_4057_9777_D2F2301CC149_.wvu.Cols" sId="5"/>
    <rfmt sheetId="5" xfDxf="1" sqref="M1:M1048576" start="0" length="0"/>
  </rrc>
  <rfmt sheetId="5" xfDxf="1" sqref="B23" start="0" length="0">
    <dxf>
      <font>
        <sz val="11"/>
        <name val="Calibri"/>
        <family val="2"/>
      </font>
      <numFmt numFmtId="167" formatCode="\ #,##0\ ;&quot; -&quot;#,##0\ ;&quot; - &quot;;@\ "/>
      <fill>
        <patternFill patternType="solid">
          <fgColor rgb="FFFFFFFF"/>
          <bgColor rgb="FFFFFFFF"/>
        </patternFill>
      </fill>
      <alignment vertical="center"/>
      <border outline="0">
        <left style="thin">
          <color indexed="64"/>
        </left>
        <right style="thin">
          <color indexed="64"/>
        </right>
      </border>
    </dxf>
  </rfmt>
  <rcc rId="2614" sId="5">
    <nc r="B23">
      <f>'Oversikt Variabler'!$B$3*'Oversikt Variabler'!$B$22</f>
    </nc>
  </rcc>
  <rcc rId="2615" sId="5">
    <nc r="C23">
      <f>'Oversikt Variabler'!$B$3*'Oversikt Variabler'!$B$22</f>
    </nc>
  </rcc>
  <rcc rId="2616" sId="5">
    <nc r="D23">
      <f>'Oversikt Variabler'!$B$3*'Oversikt Variabler'!$B$22</f>
    </nc>
  </rcc>
  <rcc rId="2617" sId="5">
    <nc r="E23">
      <f>'Oversikt Variabler'!$B$3*'Oversikt Variabler'!$B$22</f>
    </nc>
  </rcc>
  <rcc rId="2618" sId="5">
    <nc r="B38">
      <f>'Oversikt Variabler'!B23*'Oversikt Variabler'!B4</f>
    </nc>
  </rcc>
  <rcc rId="2619" sId="5">
    <nc r="B51">
      <f>'Oversikt Variabler'!$B$24*'Oversikt Variabler'!$B$4</f>
    </nc>
  </rcc>
  <rcc rId="2620" sId="5">
    <nc r="C51">
      <f>'Oversikt Variabler'!$B$24*'Oversikt Variabler'!$B$4</f>
    </nc>
  </rcc>
  <rcc rId="2621" sId="5">
    <nc r="D51">
      <f>'Oversikt Variabler'!$B$24*'Oversikt Variabler'!$B$4</f>
    </nc>
  </rcc>
  <rcc rId="2622" sId="5" odxf="1" dxf="1">
    <nc r="E51">
      <f>'Oversikt Variabler'!$B$24*'Oversikt Variabler'!$B$4</f>
    </nc>
    <odxf>
      <border outline="0">
        <right/>
      </border>
    </odxf>
    <ndxf>
      <border outline="0">
        <right style="thin">
          <color rgb="FF000000"/>
        </right>
      </border>
    </ndxf>
  </rcc>
  <rcc rId="2623" sId="5" odxf="1" dxf="1">
    <nc r="F51">
      <f>'Oversikt Variabler'!$B$24*'Oversikt Variabler'!$B$4</f>
    </nc>
    <odxf>
      <border outline="0">
        <left style="thin">
          <color indexed="64"/>
        </left>
        <right style="thin">
          <color indexed="64"/>
        </right>
      </border>
    </odxf>
    <ndxf>
      <border outline="0">
        <left style="thin">
          <color rgb="FF000000"/>
        </left>
        <right style="thin">
          <color rgb="FF000000"/>
        </right>
      </border>
    </ndxf>
  </rcc>
  <rcc rId="2624" sId="5" odxf="1" dxf="1">
    <nc r="G51">
      <f>'Oversikt Variabler'!$B$24*'Oversikt Variabler'!$B$4</f>
    </nc>
    <odxf>
      <border outline="0">
        <left style="thin">
          <color indexed="64"/>
        </left>
        <right style="thin">
          <color indexed="64"/>
        </right>
      </border>
    </odxf>
    <ndxf>
      <border outline="0">
        <left style="thin">
          <color rgb="FF000000"/>
        </left>
        <right style="thin">
          <color rgb="FF000000"/>
        </right>
      </border>
    </ndxf>
  </rcc>
  <rcc rId="2625" sId="5">
    <nc r="A63" t="inlineStr">
      <is>
        <t>EMEA fond</t>
      </is>
    </nc>
  </rcc>
  <rcc rId="2626" sId="5">
    <nc r="B63">
      <f>'Oversikt Variabler'!$B$24*'Oversikt Variabler'!$B$4</f>
    </nc>
  </rcc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29" sId="5" numFmtId="4">
    <oc r="B27">
      <v>-442</v>
    </oc>
    <nc r="B27">
      <v>-499</v>
    </nc>
  </rcc>
  <rcc rId="2630" sId="5">
    <oc r="B28">
      <f>_xlfn.CEILING.MATH(B25+B27,,TRUE)</f>
    </oc>
    <nc r="B28">
      <f>_xlfn.FLOOR.MATH(B25+B27,,TRUE)</f>
    </nc>
  </rcc>
  <rcc rId="2631" sId="5">
    <oc r="C28">
      <f>_xlfn.CEILING.MATH(C25+C27,,TRUE)</f>
    </oc>
    <nc r="C28">
      <f>_xlfn.FLOOR.MATH(C25+C27,,TRUE)</f>
    </nc>
  </rcc>
  <rcc rId="2632" sId="5" numFmtId="4">
    <oc r="D27">
      <v>-1042</v>
    </oc>
    <nc r="D27">
      <v>-1049</v>
    </nc>
  </rcc>
  <rcc rId="2633" sId="5">
    <oc r="D28">
      <f>_xlfn.CEILING.MATH(D25+D27,,TRUE)</f>
    </oc>
    <nc r="D28">
      <f>_xlfn.FLOOR.MATH(D25+D27,,TRUE)</f>
    </nc>
  </rcc>
  <rcc rId="2634" sId="5">
    <oc r="E28">
      <f>_xlfn.CEILING.MATH(E25+E27,,TRUE)</f>
    </oc>
    <nc r="E28">
      <f>_xlfn.FLOOR.MATH(E25+E27,,TRUE)</f>
    </nc>
  </rcc>
  <rcc rId="2635" sId="5" numFmtId="4">
    <oc r="E27">
      <v>-1042</v>
    </oc>
    <nc r="E27">
      <v>-1049</v>
    </nc>
  </rcc>
  <rcc rId="2636" sId="5" numFmtId="4">
    <oc r="C27">
      <v>-742</v>
    </oc>
    <nc r="C27">
      <v>-749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37" sId="5" numFmtId="4">
    <oc r="B41">
      <v>-448</v>
    </oc>
    <nc r="B41">
      <v>-494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38" sId="5">
    <oc r="B55">
      <f>_xlfn.CEILING.MATH(B53+B54,,FALSE)</f>
    </oc>
    <nc r="B55">
      <f>_xlfn.FLOOR.MATH(B53+B54,,FALSE)</f>
    </nc>
  </rcc>
  <rcc rId="2639" sId="5" numFmtId="4">
    <oc r="I22">
      <v>16797.2539</v>
    </oc>
    <nc r="I22">
      <f>B55</f>
    </nc>
  </rcc>
  <rcc rId="2640" sId="5" numFmtId="4">
    <oc r="I23">
      <v>20997.2539</v>
    </oc>
    <nc r="I23">
      <f>C55</f>
    </nc>
  </rcc>
  <rcc rId="2641" sId="5" numFmtId="4">
    <oc r="I24">
      <v>22798.603900000002</v>
    </oc>
    <nc r="I24">
      <f>D55</f>
    </nc>
  </rcc>
  <rcc rId="2642" sId="5" numFmtId="4">
    <oc r="I25">
      <v>26998.603899999998</v>
    </oc>
    <nc r="I25">
      <f>E55</f>
    </nc>
  </rcc>
  <rcc rId="2643" sId="5">
    <nc r="I26">
      <f>F55</f>
    </nc>
  </rcc>
  <rcc rId="2644" sId="5">
    <nc r="I27">
      <f>G55</f>
    </nc>
  </rcc>
  <rcc rId="2645" sId="5">
    <oc r="C55">
      <f>_xlfn.CEILING.MATH(C53+C54,,FALSE)</f>
    </oc>
    <nc r="C55">
      <f>_xlfn.FLOOR.MATH(C53+C54,,FALSE)</f>
    </nc>
  </rcc>
  <rcc rId="2646" sId="5">
    <oc r="B54">
      <v>86</v>
    </oc>
    <nc r="B54">
      <f>133</f>
    </nc>
  </rcc>
  <rcc rId="2647" sId="5" numFmtId="4">
    <oc r="C54">
      <v>-101</v>
    </oc>
    <nc r="C54">
      <v>70</v>
    </nc>
  </rcc>
  <rcc rId="2648" sId="5" numFmtId="4">
    <oc r="D54">
      <f>-714</f>
    </oc>
    <nc r="D54">
      <v>-367</v>
    </nc>
  </rcc>
  <rcc rId="2649" sId="5">
    <oc r="D55">
      <f>_xlfn.CEILING.MATH(D53+D54,,FALSE)</f>
    </oc>
    <nc r="D55">
      <f>_xlfn.FLOOR.MATH(D53+D54,,FALSE)</f>
    </nc>
  </rcc>
  <rcc rId="2650" sId="5">
    <oc r="E54">
      <f>-1001</f>
    </oc>
    <nc r="E54">
      <f>-730</f>
    </nc>
  </rcc>
  <rcc rId="2651" sId="5">
    <oc r="E55">
      <f>_xlfn.CEILING.MATH(E53+E54,,FALSE)</f>
    </oc>
    <nc r="E55">
      <f>_xlfn.FLOOR.MATH(E53+E54,,FALSE)</f>
    </nc>
  </rcc>
  <rcc rId="2652" sId="5">
    <oc r="F54">
      <f>-579</f>
    </oc>
    <nc r="F54">
      <f>-529</f>
    </nc>
  </rcc>
  <rcc rId="2653" sId="5">
    <oc r="F55">
      <f>_xlfn.CEILING.MATH(F53+F54,,FALSE)</f>
    </oc>
    <nc r="F55">
      <f>_xlfn.FLOOR.MATH(F53+F54,,FALSE)</f>
    </nc>
  </rcc>
  <rcc rId="2654" sId="5">
    <oc r="G54">
      <f>-566</f>
    </oc>
    <nc r="G54">
      <f>-582</f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55" sId="5">
    <oc r="B62">
      <f>'Oversikt Variabler'!$B$7*21*'Oversikt Variabler'!$B$3</f>
    </oc>
    <nc r="B62">
      <f>'Oversikt Variabler'!B14*'Oversikt Variabler'!B4</f>
    </nc>
  </rcc>
  <rcc rId="2656" sId="5" numFmtId="4">
    <oc r="M31">
      <v>7072.9490586206903</v>
    </oc>
    <nc r="M31">
      <v>7200</v>
    </nc>
  </rcc>
  <rcc rId="2657" sId="5" numFmtId="4">
    <oc r="C54">
      <v>70</v>
    </oc>
    <nc r="C54">
      <v>-130</v>
    </nc>
  </rcc>
  <rcc rId="2658" sId="5" numFmtId="4">
    <oc r="B66">
      <v>-283</v>
    </oc>
    <nc r="B66">
      <v>-588</v>
    </nc>
  </rcc>
  <rcc rId="2659" sId="4">
    <oc r="F27">
      <f>'Oversikt Variabler'!B98-6000</f>
    </oc>
    <nc r="F27">
      <f>'Oversikt Variabler'!B98</f>
    </nc>
  </rcc>
  <rcmt sheetId="4" cell="F27" guid="{00000000-0000-0000-0000-000000000000}" action="delete" author="Berge, Knut Audun Monen"/>
  <rcc rId="2660" sId="8">
    <oc r="B98">
      <v>30000</v>
    </oc>
    <nc r="B98">
      <v>35000</v>
    </nc>
  </rcc>
  <rcc rId="2661" sId="8">
    <oc r="B99">
      <v>40000</v>
    </oc>
    <nc r="B99">
      <v>45000</v>
    </nc>
  </rcc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7:B17">
    <dxf>
      <fill>
        <patternFill>
          <bgColor rgb="FF92D050"/>
        </patternFill>
      </fill>
    </dxf>
  </rfmt>
  <rcc rId="2288" sId="8" numFmtId="4">
    <oc r="B3">
      <v>11</v>
    </oc>
    <nc r="B3">
      <v>11.5</v>
    </nc>
  </rcc>
  <rcc rId="2289" sId="8" numFmtId="4">
    <oc r="B4">
      <v>11</v>
    </oc>
    <nc r="B4">
      <v>11.5</v>
    </nc>
  </rcc>
  <rcc rId="2290" sId="8">
    <oc r="B21">
      <f>50*1.03</f>
    </oc>
    <nc r="B21">
      <f>53.04</f>
    </nc>
  </rcc>
  <rfmt sheetId="8" sqref="B21">
    <dxf>
      <fill>
        <patternFill patternType="solid">
          <bgColor rgb="FF92D050"/>
        </patternFill>
      </fill>
    </dxf>
  </rfmt>
  <rcc rId="2291" sId="8">
    <oc r="B20">
      <f>100*1.03</f>
    </oc>
    <nc r="B20">
      <f>106.09</f>
    </nc>
  </rcc>
  <rfmt sheetId="8" sqref="B20">
    <dxf>
      <fill>
        <patternFill patternType="solid">
          <bgColor rgb="FF92D050"/>
        </patternFill>
      </fill>
    </dxf>
  </rfmt>
  <rcc rId="2292" sId="8" numFmtId="4">
    <oc r="B19">
      <v>90.2</v>
    </oc>
    <nc r="B19">
      <f>92.91</f>
    </nc>
  </rcc>
  <rfmt sheetId="8" sqref="B19">
    <dxf>
      <fill>
        <patternFill patternType="solid">
          <bgColor rgb="FF92D050"/>
        </patternFill>
      </fill>
    </dxf>
  </rfmt>
  <rfmt sheetId="8" sqref="B19:B21">
    <dxf>
      <numFmt numFmtId="7" formatCode="#,##0.00;\-#,##0.00"/>
    </dxf>
  </rfmt>
  <rcc rId="2293" sId="8" numFmtId="4">
    <oc r="B25">
      <v>690</v>
    </oc>
    <nc r="B25">
      <f>690*1.02</f>
    </nc>
  </rcc>
  <rfmt sheetId="8" sqref="B25">
    <dxf>
      <fill>
        <patternFill patternType="solid">
          <bgColor rgb="FF92D050"/>
        </patternFill>
      </fill>
    </dxf>
  </rfmt>
  <rfmt sheetId="8" sqref="B26">
    <dxf>
      <fill>
        <patternFill patternType="solid">
          <bgColor rgb="FF92D050"/>
        </patternFill>
      </fill>
    </dxf>
  </rfmt>
  <rfmt sheetId="8" sqref="B27">
    <dxf>
      <fill>
        <patternFill patternType="solid">
          <bgColor rgb="FF92D050"/>
        </patternFill>
      </fill>
    </dxf>
  </rfmt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4" sId="5">
    <oc r="B74">
      <f>'Oversikt Variabler'!#REF!*16*'Oversikt Variabler'!B3</f>
    </oc>
    <nc r="B74">
      <f>'Oversikt Variabler'!B4*'Oversikt Variabler'!B15</f>
    </nc>
  </rcc>
  <rcc rId="2665" sId="5">
    <oc r="C74">
      <f>'Oversikt Variabler'!#REF!*21*'Oversikt Variabler'!B3</f>
    </oc>
    <nc r="C74">
      <f>'Oversikt Variabler'!B4*'Oversikt Variabler'!B16</f>
    </nc>
  </rcc>
  <rcc rId="2666" sId="5" numFmtId="4">
    <oc r="B77">
      <v>-379</v>
    </oc>
    <nc r="B77">
      <v>-457</v>
    </nc>
  </rcc>
  <rcc rId="2667" sId="5" numFmtId="4">
    <oc r="C77">
      <v>-315</v>
    </oc>
    <nc r="C77">
      <v>-421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68" sId="5" numFmtId="4">
    <oc r="F12">
      <v>-831</v>
    </oc>
    <nc r="F12">
      <v>-931</v>
    </nc>
  </rcc>
  <rcc rId="2669" sId="5" numFmtId="4">
    <oc r="B12">
      <v>-509</v>
    </oc>
    <nc r="B12">
      <v>-659</v>
    </nc>
  </rcc>
  <rcc rId="2670" sId="5" numFmtId="4">
    <oc r="C12">
      <v>-709</v>
    </oc>
    <nc r="C12">
      <v>-859</v>
    </nc>
  </rcc>
  <rcc rId="2671" sId="5">
    <oc r="D12">
      <f>-909</f>
    </oc>
    <nc r="D12">
      <f>-1159</f>
    </nc>
  </rcc>
  <rcc rId="2672" sId="5">
    <oc r="E12">
      <f>-909</f>
    </oc>
    <nc r="E12">
      <f>-1159</f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673" sId="2" ref="A53:XFD53" action="deleteRow">
    <undo index="65535" exp="ref" ref3D="1" v="1" dr="C53" r="C57" sId="1"/>
    <undo index="65535" exp="area" ref3D="1" dr="$M$1:$M$1048576" dn="Z_845F3A43_EF96_4057_9777_D2F2301CC149_.wvu.Cols" sId="2"/>
    <undo index="65535" exp="area" ref3D="1" dr="$K$1:$K$1048576" dn="Z_845F3A43_EF96_4057_9777_D2F2301CC149_.wvu.Cols" sId="2"/>
    <undo index="65535" exp="area" ref3D="1" dr="$I$1:$I$1048576" dn="Z_845F3A43_EF96_4057_9777_D2F2301CC149_.wvu.Cols" sId="2"/>
    <undo index="1" exp="area" ref3D="1" dr="$G$1:$G$1048576" dn="Z_845F3A43_EF96_4057_9777_D2F2301CC149_.wvu.Cols" sId="2"/>
    <undo index="65535" exp="area" ref3D="1" dr="$D$1:$E$1048576" dn="Z_CF50DB9B_0F8D_41A5_9576_F9345942CE97_.wvu.Cols" sId="2"/>
    <rfmt sheetId="2" xfDxf="1" sqref="A53:XFD53" start="0" length="0"/>
    <rcc rId="0" sId="2" dxf="1">
      <nc r="A53">
        <v>6550</v>
      </nc>
      <ndxf>
        <font>
          <sz val="11"/>
          <color rgb="FF44546A"/>
          <name val="Calibri"/>
          <family val="2"/>
          <scheme val="none"/>
        </font>
      </ndxf>
    </rcc>
    <rcc rId="0" sId="2" dxf="1">
      <nc r="B53" t="inlineStr">
        <is>
          <t>Driftsmaterialer</t>
        </is>
      </nc>
      <ndxf>
        <font>
          <sz val="10"/>
          <color auto="1"/>
          <name val="Calibri"/>
          <family val="2"/>
          <scheme val="none"/>
        </font>
      </ndxf>
    </rcc>
    <rcc rId="0" sId="2" dxf="1">
      <nc r="C53">
        <f>F53+H53+J53+L53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>
      <nc r="D53">
        <f>C53-E53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E7E6E6"/>
            <bgColor rgb="FFE7E6E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 numFmtId="4">
      <nc r="E53">
        <v>0</v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>
      <nc r="F53">
        <f>Sentralt!#REF!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fmt sheetId="2" sqref="G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H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I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J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K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L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M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</dxf>
    </rfmt>
    <rfmt sheetId="2" sqref="N53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</dxf>
    </rfmt>
    <rfmt sheetId="2" sqref="O53" start="0" length="0">
      <dxf>
        <font>
          <sz val="11"/>
          <color rgb="FF000000"/>
          <name val="Calibri"/>
          <family val="2"/>
          <scheme val="none"/>
        </font>
      </dxf>
    </rfmt>
    <rfmt sheetId="2" sqref="P53" start="0" length="0">
      <dxf>
        <font>
          <sz val="11"/>
          <color rgb="FF000000"/>
          <name val="Calibri"/>
          <family val="2"/>
          <scheme val="none"/>
        </font>
      </dxf>
    </rfmt>
    <rfmt sheetId="2" sqref="Q53" start="0" length="0">
      <dxf>
        <font>
          <sz val="11"/>
          <color rgb="FF000000"/>
          <name val="Calibri"/>
          <family val="2"/>
          <scheme val="none"/>
        </font>
      </dxf>
    </rfmt>
    <rfmt sheetId="2" sqref="R53" start="0" length="0">
      <dxf>
        <font>
          <sz val="11"/>
          <color rgb="FF000000"/>
          <name val="Calibri"/>
          <family val="2"/>
          <scheme val="none"/>
        </font>
      </dxf>
    </rfmt>
    <rfmt sheetId="2" sqref="S53" start="0" length="0">
      <dxf>
        <font>
          <sz val="11"/>
          <color rgb="FF000000"/>
          <name val="Calibri"/>
          <family val="2"/>
          <scheme val="none"/>
        </font>
      </dxf>
    </rfmt>
    <rfmt sheetId="2" sqref="T53" start="0" length="0">
      <dxf>
        <font>
          <sz val="11"/>
          <color rgb="FF000000"/>
          <name val="Calibri"/>
          <family val="2"/>
          <scheme val="none"/>
        </font>
      </dxf>
    </rfmt>
    <rfmt sheetId="2" sqref="U53" start="0" length="0">
      <dxf>
        <font>
          <sz val="11"/>
          <color rgb="FF000000"/>
          <name val="Calibri"/>
          <family val="2"/>
          <scheme val="none"/>
        </font>
      </dxf>
    </rfmt>
    <rfmt sheetId="2" sqref="V53" start="0" length="0">
      <dxf>
        <font>
          <sz val="11"/>
          <color rgb="FF000000"/>
          <name val="Calibri"/>
          <family val="2"/>
          <scheme val="none"/>
        </font>
      </dxf>
    </rfmt>
    <rfmt sheetId="2" sqref="W53" start="0" length="0">
      <dxf>
        <font>
          <sz val="11"/>
          <color rgb="FF000000"/>
          <name val="Calibri"/>
          <family val="2"/>
          <scheme val="none"/>
        </font>
      </dxf>
    </rfmt>
    <rfmt sheetId="2" sqref="X53" start="0" length="0">
      <dxf>
        <font>
          <sz val="11"/>
          <color rgb="FF000000"/>
          <name val="Calibri"/>
          <family val="2"/>
          <scheme val="none"/>
        </font>
      </dxf>
    </rfmt>
    <rfmt sheetId="2" sqref="Y53" start="0" length="0">
      <dxf>
        <font>
          <sz val="11"/>
          <color rgb="FF000000"/>
          <name val="Calibri"/>
          <family val="2"/>
          <scheme val="none"/>
        </font>
      </dxf>
    </rfmt>
    <rfmt sheetId="2" sqref="Z53" start="0" length="0">
      <dxf>
        <font>
          <sz val="11"/>
          <color rgb="FF000000"/>
          <name val="Calibri"/>
          <family val="2"/>
          <scheme val="none"/>
        </font>
      </dxf>
    </rfmt>
  </rrc>
  <rcc rId="2674" sId="2">
    <oc r="F68">
      <f>Sentralt!B40+Sentralt!C40+Sentralt!B98+Sentralt!C98+Sentralt!#REF!+Sentralt!#REF!</f>
    </oc>
    <nc r="F68">
      <f>Sentralt!B40+Sentralt!C40+Sentralt!B98+Sentralt!C98</f>
    </nc>
  </rcc>
  <rcc rId="2675" sId="2">
    <oc r="F69">
      <f>Sentralt!D40+Sentralt!#REF!</f>
    </oc>
    <nc r="F69">
      <f>Sentralt!D40</f>
    </nc>
  </rcc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78" sId="3" numFmtId="4">
    <oc r="B46">
      <v>75000</v>
    </oc>
    <nc r="B46">
      <v>125000</v>
    </nc>
  </rcc>
  <rcc rId="2679" sId="3" odxf="1" dxf="1">
    <oc r="B55">
      <f>B8*0.95</f>
    </oc>
    <nc r="B55">
      <f>B8*0.95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57" start="0" length="0">
    <dxf>
      <fill>
        <patternFill>
          <bgColor rgb="FFE2F0D9"/>
        </patternFill>
      </fill>
    </dxf>
  </rfmt>
  <rcc rId="2680" sId="3" odxf="1" dxf="1">
    <oc r="B58">
      <f>B12</f>
    </oc>
    <nc r="B58">
      <f>B12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59" start="0" length="0">
    <dxf>
      <fill>
        <patternFill>
          <bgColor rgb="FFE2F0D9"/>
        </patternFill>
      </fill>
    </dxf>
  </rfmt>
  <rfmt sheetId="3" sqref="B60" start="0" length="0">
    <dxf>
      <fill>
        <patternFill>
          <bgColor rgb="FFE2F0D9"/>
        </patternFill>
      </fill>
    </dxf>
  </rfmt>
  <rfmt sheetId="3" sqref="B61" start="0" length="0">
    <dxf>
      <fill>
        <patternFill>
          <bgColor rgb="FFE2F0D9"/>
        </patternFill>
      </fill>
    </dxf>
  </rfmt>
  <rfmt sheetId="3" sqref="B6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/>
        <top/>
        <bottom/>
      </border>
    </dxf>
  </rfmt>
  <rcc rId="2681" sId="3" odxf="1" dxf="1">
    <oc r="B63">
      <f>B18*0.9</f>
    </oc>
    <nc r="B63">
      <f>B18*0.9</f>
    </nc>
    <odxf>
      <numFmt numFmtId="0" formatCode="General"/>
      <fill>
        <patternFill>
          <fgColor rgb="FFFFFFFF"/>
          <bgColor rgb="FF92D050"/>
        </patternFill>
      </fill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odxf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/>
        <top/>
        <bottom/>
      </border>
    </ndxf>
  </rcc>
  <rfmt sheetId="3" sqref="E92" start="0" length="0">
    <dxf>
      <fill>
        <patternFill>
          <bgColor rgb="FFE2F0D9"/>
        </patternFill>
      </fill>
    </dxf>
  </rfmt>
  <rfmt sheetId="3" sqref="E95" start="0" length="0">
    <dxf>
      <fill>
        <patternFill>
          <bgColor rgb="FFE2F0D9"/>
        </patternFill>
      </fill>
    </dxf>
  </rfmt>
  <rfmt sheetId="3" sqref="E97" start="0" length="0">
    <dxf>
      <fill>
        <patternFill>
          <bgColor rgb="FFE2F0D9"/>
        </patternFill>
      </fill>
    </dxf>
  </rfmt>
  <rrc rId="2682" sId="3" ref="A106:XFD106" action="deleteRow">
    <undo index="65535" exp="area" dr="B102:B106" r="B107" sId="3"/>
    <rfmt sheetId="3" xfDxf="1" sqref="A106:XFD106" start="0" length="0"/>
    <rcc rId="0" sId="3" dxf="1">
      <nc r="A106" t="inlineStr">
        <is>
          <t>ARBEIDSGRUPPER 2017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ndxf>
    </rcc>
    <rcc rId="0" sId="3" dxf="1">
      <nc r="B106">
        <f>#REF!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</ndxf>
    </rcc>
    <rfmt sheetId="3" sqref="C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D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E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F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G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H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I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J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K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L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M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N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O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P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Q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R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S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T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U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V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W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X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3" sqref="Y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cc rId="2683" sId="3" numFmtId="4">
    <oc r="B43">
      <v>90000</v>
    </oc>
    <nc r="B43">
      <v>80000</v>
    </nc>
  </rcc>
  <rfmt sheetId="3" sqref="B43">
    <dxf>
      <fill>
        <patternFill>
          <bgColor rgb="FF92D050"/>
        </patternFill>
      </fill>
    </dxf>
  </rfmt>
  <rfmt sheetId="3" sqref="B47">
    <dxf>
      <fill>
        <patternFill>
          <bgColor rgb="FF92D050"/>
        </patternFill>
      </fill>
    </dxf>
  </rfmt>
  <rcc rId="2684" sId="3" numFmtId="4">
    <oc r="B47">
      <v>20000</v>
    </oc>
    <nc r="B47">
      <v>22500</v>
    </nc>
  </rcc>
  <rfmt sheetId="3" sqref="B7" start="0" length="0">
    <dxf>
      <fill>
        <patternFill>
          <bgColor rgb="FFE2F0D9"/>
        </patternFill>
      </fill>
    </dxf>
  </rfmt>
  <rfmt sheetId="3" sqref="B8" start="0" length="0">
    <dxf>
      <fill>
        <patternFill>
          <bgColor rgb="FFE2F0D9"/>
        </patternFill>
      </fill>
    </dxf>
  </rfmt>
  <rcc rId="2685" sId="3" odxf="1" dxf="1">
    <oc r="B9">
      <f>Høstmøtet!K21</f>
    </oc>
    <nc r="B9">
      <f>Høstmøtet!K21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2686" sId="3" odxf="1" dxf="1">
    <oc r="B10">
      <f>75000</f>
    </oc>
    <nc r="B10">
      <f>75000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2687" sId="3" odxf="1" dxf="1">
    <oc r="B11">
      <f>'Oversikt Variabler'!B20*'Oversikt Variabler'!B3*21</f>
    </oc>
    <nc r="B11">
      <f>'Oversikt Variabler'!B20*'Oversikt Variabler'!B3*21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12" start="0" length="0">
    <dxf>
      <fill>
        <patternFill>
          <bgColor rgb="FFE2F0D9"/>
        </patternFill>
      </fill>
    </dxf>
  </rfmt>
  <rcc rId="2688" sId="3" odxf="1" dxf="1">
    <oc r="B13">
      <f>Prosjekter!G13</f>
    </oc>
    <nc r="B13">
      <f>Prosjekter!G13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14" start="0" length="0">
    <dxf>
      <fill>
        <patternFill>
          <bgColor rgb="FFE2F0D9"/>
        </patternFill>
      </fill>
    </dxf>
  </rfmt>
  <rfmt sheetId="3" sqref="B15" start="0" length="0">
    <dxf>
      <fill>
        <patternFill>
          <bgColor rgb="FFE2F0D9"/>
        </patternFill>
      </fill>
    </dxf>
  </rfmt>
  <rfmt sheetId="3" sqref="B16" start="0" length="0">
    <dxf>
      <fill>
        <patternFill>
          <bgColor rgb="FFE2F0D9"/>
        </patternFill>
      </fill>
    </dxf>
  </rfmt>
  <rcc rId="2689" sId="3">
    <oc r="B12">
      <f>3250*50</f>
    </oc>
    <nc r="B12">
      <f>3000*50</f>
    </nc>
  </rcc>
  <rcc rId="2690" sId="3" numFmtId="4">
    <oc r="B8">
      <v>470000</v>
    </oc>
    <nc r="B8">
      <v>480000</v>
    </nc>
  </rcc>
  <rfmt sheetId="3" sqref="B8">
    <dxf>
      <fill>
        <patternFill>
          <bgColor rgb="FF92D050"/>
        </patternFill>
      </fill>
    </dxf>
  </rfmt>
  <rfmt sheetId="3" sqref="B11">
    <dxf>
      <fill>
        <patternFill>
          <bgColor rgb="FF92D050"/>
        </patternFill>
      </fill>
    </dxf>
  </rfmt>
  <rfmt sheetId="3" sqref="B12">
    <dxf>
      <fill>
        <patternFill>
          <bgColor rgb="FF92D050"/>
        </patternFill>
      </fill>
    </dxf>
  </rfmt>
  <rfmt sheetId="3" sqref="B13">
    <dxf>
      <fill>
        <patternFill>
          <bgColor rgb="FF92D050"/>
        </patternFill>
      </fill>
    </dxf>
  </rfmt>
  <rcc rId="2691" sId="3" numFmtId="4">
    <oc r="B14">
      <v>490000</v>
    </oc>
    <nc r="B14">
      <v>515000</v>
    </nc>
  </rcc>
  <rcc rId="2692" sId="3">
    <oc r="B57">
      <f>B14*0.65</f>
    </oc>
    <nc r="B57">
      <f>B14*0.63</f>
    </nc>
  </rcc>
  <rfmt sheetId="3" sqref="B14">
    <dxf>
      <fill>
        <patternFill>
          <bgColor rgb="FF92D050"/>
        </patternFill>
      </fill>
    </dxf>
  </rfmt>
  <rfmt sheetId="3" sqref="B57">
    <dxf>
      <fill>
        <patternFill>
          <bgColor rgb="FF92D050"/>
        </patternFill>
      </fill>
    </dxf>
  </rfmt>
  <rfmt sheetId="3" sqref="B55">
    <dxf>
      <fill>
        <patternFill>
          <bgColor rgb="FF92D050"/>
        </patternFill>
      </fill>
    </dxf>
  </rfmt>
  <rfmt sheetId="3" sqref="B7">
    <dxf>
      <fill>
        <patternFill>
          <bgColor rgb="FF92D050"/>
        </patternFill>
      </fill>
    </dxf>
  </rfmt>
  <rcc rId="2693" sId="3" numFmtId="4">
    <oc r="B7">
      <v>180000</v>
    </oc>
    <nc r="B7">
      <v>140000</v>
    </nc>
  </rcc>
  <rcc rId="2694" sId="3">
    <oc r="B53">
      <f>Budsjett_enkel!C4-Program!H22</f>
    </oc>
    <nc r="B53">
      <f>310000-Program!H22</f>
    </nc>
  </rcc>
  <rfmt sheetId="3" sqref="B53">
    <dxf>
      <fill>
        <patternFill>
          <bgColor rgb="FF92D050"/>
        </patternFill>
      </fill>
    </dxf>
  </rfmt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7" sId="3" numFmtId="4">
    <oc r="B54">
      <v>16000</v>
    </oc>
    <nc r="B54">
      <v>20000</v>
    </nc>
  </rcc>
  <rfmt sheetId="3" sqref="B53:B54">
    <dxf>
      <fill>
        <patternFill>
          <bgColor rgb="FF92D050"/>
        </patternFill>
      </fill>
    </dxf>
  </rfmt>
  <rfmt sheetId="3" sqref="B58">
    <dxf>
      <fill>
        <patternFill>
          <bgColor rgb="FF92D050"/>
        </patternFill>
      </fill>
    </dxf>
  </rfmt>
  <rcc rId="2698" sId="3" numFmtId="4">
    <oc r="B59">
      <v>13000</v>
    </oc>
    <nc r="B59"/>
  </rcc>
  <rcc rId="2699" sId="3" numFmtId="4">
    <oc r="B60">
      <v>40000</v>
    </oc>
    <nc r="B60"/>
  </rcc>
  <rcc rId="2700" sId="3" numFmtId="4">
    <oc r="B61">
      <v>32000</v>
    </oc>
    <nc r="B61"/>
  </rcc>
  <rcc rId="2701" sId="3" numFmtId="4">
    <oc r="B16">
      <v>85000</v>
    </oc>
    <nc r="B16">
      <v>0</v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02" sId="3" numFmtId="4">
    <oc r="B52">
      <v>125000</v>
    </oc>
    <nc r="B52">
      <v>25000</v>
    </nc>
  </rcc>
  <rm rId="2703" sheetId="3" source="C49:E51" destination="C48:E50" sourceSheetId="3"/>
  <rcc rId="2704" sId="3">
    <nc r="C50" t="inlineStr">
      <is>
        <t>Satser finnes i dokument C-10</t>
      </is>
    </nc>
  </rcc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07" sId="3">
    <oc r="B78">
      <f>15000+45000</f>
    </oc>
    <nc r="B78">
      <f>15000</f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08" sId="3">
    <oc r="B84">
      <f>30000</f>
    </oc>
    <nc r="B84">
      <f>20000</f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C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D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E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F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G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H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I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J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K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L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top/>
      </border>
    </dxf>
  </rfmt>
  <rfmt sheetId="6" sqref="B3" start="0" length="0">
    <dxf>
      <fill>
        <patternFill>
          <bgColor rgb="FFE2F0D9"/>
        </patternFill>
      </fill>
    </dxf>
  </rfmt>
  <rfmt sheetId="6" sqref="C3" start="0" length="0">
    <dxf>
      <fill>
        <patternFill>
          <bgColor rgb="FFE2F0D9"/>
        </patternFill>
      </fill>
    </dxf>
  </rfmt>
  <rfmt sheetId="6" sqref="D3" start="0" length="0">
    <dxf>
      <fill>
        <patternFill>
          <bgColor rgb="FFE2F0D9"/>
        </patternFill>
      </fill>
    </dxf>
  </rfmt>
  <rfmt sheetId="6" sqref="E3" start="0" length="0">
    <dxf>
      <fill>
        <patternFill>
          <bgColor rgb="FFE2F0D9"/>
        </patternFill>
      </fill>
    </dxf>
  </rfmt>
  <rfmt sheetId="6" sqref="F3" start="0" length="0">
    <dxf>
      <fill>
        <patternFill>
          <bgColor rgb="FFE2F0D9"/>
        </patternFill>
      </fill>
    </dxf>
  </rfmt>
  <rfmt sheetId="6" sqref="G3" start="0" length="0">
    <dxf>
      <fill>
        <patternFill>
          <bgColor rgb="FFE2F0D9"/>
        </patternFill>
      </fill>
    </dxf>
  </rfmt>
  <rfmt sheetId="6" sqref="H3" start="0" length="0">
    <dxf>
      <fill>
        <patternFill>
          <bgColor rgb="FFE2F0D9"/>
        </patternFill>
      </fill>
    </dxf>
  </rfmt>
  <rfmt sheetId="6" sqref="I3" start="0" length="0">
    <dxf>
      <fill>
        <patternFill>
          <bgColor rgb="FFE2F0D9"/>
        </patternFill>
      </fill>
    </dxf>
  </rfmt>
  <rfmt sheetId="6" sqref="J3" start="0" length="0">
    <dxf>
      <fill>
        <patternFill>
          <bgColor rgb="FFE2F0D9"/>
        </patternFill>
      </fill>
    </dxf>
  </rfmt>
  <rfmt sheetId="6" sqref="K3" start="0" length="0">
    <dxf>
      <fill>
        <patternFill>
          <bgColor rgb="FFE2F0D9"/>
        </patternFill>
      </fill>
    </dxf>
  </rfmt>
  <rfmt sheetId="6" sqref="L3" start="0" length="0">
    <dxf>
      <fill>
        <patternFill>
          <bgColor rgb="FFE2F0D9"/>
        </patternFill>
      </fill>
    </dxf>
  </rfmt>
  <rfmt sheetId="6" sqref="B4" start="0" length="0">
    <dxf>
      <fill>
        <patternFill>
          <bgColor rgb="FFE2F0D9"/>
        </patternFill>
      </fill>
    </dxf>
  </rfmt>
  <rfmt sheetId="6" sqref="C4" start="0" length="0">
    <dxf>
      <fill>
        <patternFill>
          <bgColor rgb="FFE2F0D9"/>
        </patternFill>
      </fill>
    </dxf>
  </rfmt>
  <rfmt sheetId="6" sqref="D4" start="0" length="0">
    <dxf>
      <fill>
        <patternFill>
          <bgColor rgb="FFE2F0D9"/>
        </patternFill>
      </fill>
    </dxf>
  </rfmt>
  <rfmt sheetId="6" sqref="E4" start="0" length="0">
    <dxf>
      <fill>
        <patternFill>
          <bgColor rgb="FFE2F0D9"/>
        </patternFill>
      </fill>
    </dxf>
  </rfmt>
  <rfmt sheetId="6" sqref="F4" start="0" length="0">
    <dxf>
      <fill>
        <patternFill>
          <bgColor rgb="FFE2F0D9"/>
        </patternFill>
      </fill>
    </dxf>
  </rfmt>
  <rfmt sheetId="6" sqref="G4" start="0" length="0">
    <dxf>
      <fill>
        <patternFill>
          <bgColor rgb="FFE2F0D9"/>
        </patternFill>
      </fill>
    </dxf>
  </rfmt>
  <rfmt sheetId="6" sqref="H4" start="0" length="0">
    <dxf>
      <fill>
        <patternFill>
          <bgColor rgb="FFE2F0D9"/>
        </patternFill>
      </fill>
    </dxf>
  </rfmt>
  <rfmt sheetId="6" sqref="I4" start="0" length="0">
    <dxf>
      <fill>
        <patternFill>
          <bgColor rgb="FFE2F0D9"/>
        </patternFill>
      </fill>
    </dxf>
  </rfmt>
  <rfmt sheetId="6" sqref="J4" start="0" length="0">
    <dxf>
      <fill>
        <patternFill>
          <bgColor rgb="FFE2F0D9"/>
        </patternFill>
      </fill>
    </dxf>
  </rfmt>
  <rfmt sheetId="6" sqref="K4" start="0" length="0">
    <dxf>
      <fill>
        <patternFill>
          <bgColor rgb="FFE2F0D9"/>
        </patternFill>
      </fill>
    </dxf>
  </rfmt>
  <rfmt sheetId="6" sqref="L4" start="0" length="0">
    <dxf>
      <fill>
        <patternFill>
          <bgColor rgb="FFE2F0D9"/>
        </patternFill>
      </fill>
    </dxf>
  </rfmt>
  <rfmt sheetId="6" sqref="K6" start="0" length="0">
    <dxf>
      <fill>
        <patternFill>
          <bgColor rgb="FFE2F0D9"/>
        </patternFill>
      </fill>
    </dxf>
  </rfmt>
  <rfmt sheetId="6" sqref="K7" start="0" length="0">
    <dxf>
      <fill>
        <patternFill>
          <bgColor rgb="FFE2F0D9"/>
        </patternFill>
      </fill>
    </dxf>
  </rfmt>
  <rfmt sheetId="6" sqref="G8" start="0" length="0">
    <dxf>
      <fill>
        <patternFill>
          <bgColor rgb="FFE2F0D9"/>
        </patternFill>
      </fill>
    </dxf>
  </rfmt>
  <rfmt sheetId="6" sqref="K8" start="0" length="0">
    <dxf>
      <fill>
        <patternFill>
          <bgColor rgb="FFE2F0D9"/>
        </patternFill>
      </fill>
    </dxf>
  </rfmt>
  <rfmt sheetId="6" sqref="B10" start="0" length="0">
    <dxf>
      <fill>
        <patternFill>
          <bgColor rgb="FFE2F0D9"/>
        </patternFill>
      </fill>
      <border outline="0">
        <top/>
        <bottom/>
      </border>
    </dxf>
  </rfmt>
  <rfmt sheetId="6" sqref="C10" start="0" length="0">
    <dxf>
      <fill>
        <patternFill>
          <bgColor rgb="FFE2F0D9"/>
        </patternFill>
      </fill>
    </dxf>
  </rfmt>
  <rfmt sheetId="6" sqref="D10" start="0" length="0">
    <dxf>
      <fill>
        <patternFill>
          <bgColor rgb="FFE2F0D9"/>
        </patternFill>
      </fill>
    </dxf>
  </rfmt>
  <rfmt sheetId="6" sqref="E10" start="0" length="0">
    <dxf>
      <fill>
        <patternFill>
          <bgColor rgb="FFE2F0D9"/>
        </patternFill>
      </fill>
    </dxf>
  </rfmt>
  <rfmt sheetId="6" sqref="F10" start="0" length="0">
    <dxf>
      <fill>
        <patternFill>
          <bgColor rgb="FFE2F0D9"/>
        </patternFill>
      </fill>
    </dxf>
  </rfmt>
  <rfmt sheetId="6" sqref="G10" start="0" length="0">
    <dxf>
      <fill>
        <patternFill>
          <bgColor rgb="FFE2F0D9"/>
        </patternFill>
      </fill>
    </dxf>
  </rfmt>
  <rfmt sheetId="6" sqref="H10" start="0" length="0">
    <dxf>
      <fill>
        <patternFill>
          <bgColor rgb="FFE2F0D9"/>
        </patternFill>
      </fill>
    </dxf>
  </rfmt>
  <rfmt sheetId="6" sqref="I10" start="0" length="0">
    <dxf>
      <fill>
        <patternFill>
          <bgColor rgb="FFE2F0D9"/>
        </patternFill>
      </fill>
    </dxf>
  </rfmt>
  <rfmt sheetId="6" sqref="J10" start="0" length="0">
    <dxf>
      <fill>
        <patternFill>
          <bgColor rgb="FFE2F0D9"/>
        </patternFill>
      </fill>
    </dxf>
  </rfmt>
  <rfmt sheetId="6" sqref="K10" start="0" length="0">
    <dxf>
      <fill>
        <patternFill>
          <bgColor rgb="FFE2F0D9"/>
        </patternFill>
      </fill>
    </dxf>
  </rfmt>
  <rfmt sheetId="6" sqref="L10" start="0" length="0">
    <dxf>
      <fill>
        <patternFill>
          <bgColor rgb="FFE2F0D9"/>
        </patternFill>
      </fill>
    </dxf>
  </rfmt>
  <rfmt sheetId="6" sqref="J11" start="0" length="0">
    <dxf>
      <fill>
        <patternFill>
          <bgColor rgb="FFE2F0D9"/>
        </patternFill>
      </fill>
    </dxf>
  </rfmt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2:M2" start="0" length="0">
    <dxf>
      <border>
        <top style="thin">
          <color indexed="64"/>
        </top>
      </border>
    </dxf>
  </rfmt>
  <rfmt sheetId="6" sqref="M2" start="0" length="0">
    <dxf>
      <border>
        <right style="thin">
          <color indexed="64"/>
        </right>
      </border>
    </dxf>
  </rfmt>
  <rfmt sheetId="6" sqref="B2:M2" start="0" length="0">
    <dxf>
      <border>
        <bottom style="thin">
          <color indexed="64"/>
        </bottom>
      </border>
    </dxf>
  </rfmt>
  <rcc rId="2709" sId="6">
    <oc r="B2" t="inlineStr">
      <is>
        <t>Barneleir</t>
      </is>
    </oc>
    <nc r="B2" t="inlineStr">
      <is>
        <t>Junior</t>
      </is>
    </nc>
  </rcc>
  <rcc rId="2710" sId="6">
    <oc r="C2" t="inlineStr">
      <is>
        <t>Step-Up</t>
      </is>
    </oc>
    <nc r="C2" t="inlineStr">
      <is>
        <t>Risk Management</t>
      </is>
    </nc>
  </rcc>
  <rcc rId="2711" sId="6">
    <oc r="D2" t="inlineStr">
      <is>
        <t>Interchange</t>
      </is>
    </oc>
    <nc r="D2" t="inlineStr">
      <is>
        <t>Utdanning</t>
      </is>
    </nc>
  </rcc>
  <rcc rId="2712" sId="6">
    <oc r="E2" t="inlineStr">
      <is>
        <t>Youth Meeting</t>
      </is>
    </oc>
    <nc r="E2" t="inlineStr">
      <is>
        <t>Program</t>
      </is>
    </nc>
  </rcc>
  <rcc rId="2713" sId="6">
    <oc r="F2" t="inlineStr">
      <is>
        <t>Seminarleir</t>
      </is>
    </oc>
    <nc r="F2" t="inlineStr">
      <is>
        <t>Kommunikasjon</t>
      </is>
    </nc>
  </rcc>
  <rcc rId="2714" sId="6">
    <oc r="G2" t="inlineStr">
      <is>
        <t>Risk Management komite</t>
      </is>
    </oc>
    <nc r="G2" t="inlineStr">
      <is>
        <t>Utvikling</t>
      </is>
    </nc>
  </rcc>
  <rcc rId="2715" sId="6">
    <oc r="H2" t="inlineStr">
      <is>
        <t>Utdanning</t>
      </is>
    </oc>
    <nc r="H2" t="inlineStr">
      <is>
        <t>Ressurs</t>
      </is>
    </nc>
  </rcc>
  <rcc rId="2716" sId="6">
    <oc r="I2" t="inlineStr">
      <is>
        <t>Org.utvikling</t>
      </is>
    </oc>
    <nc r="I2" t="inlineStr">
      <is>
        <t>Kontroll</t>
      </is>
    </nc>
  </rcc>
  <rcc rId="2717" sId="6">
    <oc r="J2" t="inlineStr">
      <is>
        <t>Informasjon</t>
      </is>
    </oc>
    <nc r="J2" t="inlineStr">
      <is>
        <t>Valg</t>
      </is>
    </nc>
  </rcc>
  <rrc rId="2718" sId="6" ref="K1:K1048576" action="deleteCol">
    <rfmt sheetId="6" xfDxf="1" sqref="K1:K1048576" start="0" length="0"/>
    <rfmt sheetId="6" sqref="K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cc rId="0" sId="6" dxf="1">
      <nc r="K2" t="inlineStr">
        <is>
          <t>Mosaikk</t>
        </is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K3">
        <v>5000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6" dxf="1" numFmtId="4">
      <nc r="K4">
        <v>5000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5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 numFmtId="4">
      <nc r="K6">
        <v>10000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6" dxf="1" numFmtId="4">
      <nc r="K7">
        <v>1000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6" dxf="1" numFmtId="4">
      <nc r="K8">
        <v>1500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 numFmtId="4">
      <nc r="K10">
        <v>4000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11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>
      <nc r="K12">
        <f>SUM(K3:K11)</f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EDEDED"/>
            <bgColor rgb="FFEDEDED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K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cc rId="0" sId="6" dxf="1">
      <nc r="K15" t="inlineStr">
        <is>
          <t>Mosaikk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6" sqref="K16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7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8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0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1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2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3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4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5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6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7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8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>
      <nc r="K29">
        <f>SUM(K16:K28)</f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DEDED"/>
            <bgColor rgb="FFEDEDED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K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2719" sId="6" ref="K1:K1048576" action="deleteCol">
    <undo index="65535" exp="area" dr="B29:K29" r="L29" sId="6"/>
    <undo index="65535" exp="area" dr="B27:K27" r="L27" sId="6"/>
    <undo index="65535" exp="area" dr="B26:K26" r="L26" sId="6"/>
    <undo index="65535" exp="area" dr="B25:K25" r="L25" sId="6"/>
    <undo index="65535" exp="area" dr="B23:K23" r="L23" sId="6"/>
    <undo index="65535" exp="area" dr="B22:K22" r="L22" sId="6"/>
    <undo index="65535" exp="area" dr="B21:K21" r="L21" sId="6"/>
    <undo index="65535" exp="area" dr="B20:K20" r="L20" sId="6"/>
    <undo index="65535" exp="area" dr="B19:K19" r="L19" sId="6"/>
    <undo index="65535" exp="area" dr="B18:K18" r="L18" sId="6"/>
    <undo index="65535" exp="area" dr="B17:K17" r="L17" sId="6"/>
    <undo index="65535" exp="area" dr="B16:K16" r="L16" sId="6"/>
    <undo index="65535" exp="area" dr="B12:K12" r="L12" sId="6"/>
    <undo index="65535" exp="area" dr="B11:K11" r="L11" sId="6"/>
    <undo index="65535" exp="area" dr="B10:K10" r="L10" sId="6"/>
    <undo index="65535" exp="area" dr="B9:K9" r="L9" sId="6"/>
    <undo index="65535" exp="area" dr="B8:K8" r="L8" sId="6"/>
    <undo index="65535" exp="area" dr="B7:K7" r="L7" sId="6"/>
    <undo index="65535" exp="area" dr="B6:K6" r="L6" sId="6"/>
    <undo index="65535" exp="area" dr="B5:K5" r="L5" sId="6"/>
    <undo index="65535" exp="area" dr="B4:K4" r="L4" sId="6"/>
    <undo index="65535" exp="area" dr="B3:K3" r="L3" sId="6"/>
    <rfmt sheetId="6" xfDxf="1" sqref="K1:K1048576" start="0" length="0"/>
    <rfmt sheetId="6" sqref="K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cc rId="0" sId="6" dxf="1">
      <nc r="K2" t="inlineStr">
        <is>
          <t>Junior</t>
        </is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dxf="1" numFmtId="4">
      <nc r="K3">
        <v>5000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6" dxf="1" numFmtId="4">
      <nc r="K4">
        <v>6500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5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6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7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 numFmtId="4">
      <nc r="K8">
        <v>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 numFmtId="4">
      <nc r="K10">
        <v>2000</v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fmt sheetId="6" sqref="K11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>
      <nc r="K12">
        <f>SUM(K3:K11)</f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EDEDED"/>
            <bgColor rgb="FFEDEDED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K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cc rId="0" sId="6" dxf="1">
      <nc r="K15" t="inlineStr">
        <is>
          <t>Junior</t>
        </is>
      </nc>
      <n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fmt sheetId="6" sqref="K16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7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8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19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0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1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2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3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4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5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6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7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fmt sheetId="6" sqref="K28" start="0" length="0">
      <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2F0D9"/>
            <bgColor rgb="FFE2F0D9"/>
          </patternFill>
        </fill>
        <border outline="0">
          <left style="thin">
            <color indexed="64"/>
          </left>
          <right style="thin">
            <color indexed="64"/>
          </right>
        </border>
      </dxf>
    </rfmt>
    <rcc rId="0" sId="6" dxf="1">
      <nc r="K29">
        <f>SUM(K16:K28)</f>
      </nc>
      <ndxf>
        <font>
          <sz val="11"/>
          <color rgb="FF000000"/>
          <name val="Calibri"/>
          <family val="2"/>
          <scheme val="none"/>
        </font>
        <numFmt numFmtId="175" formatCode="\ #,##0\ ;&quot; -&quot;#,##0\ ;&quot; -&quot;#\ ;@\ "/>
        <fill>
          <patternFill patternType="solid">
            <fgColor rgb="FFEDEDED"/>
            <bgColor rgb="FFEDEDED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qref="K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1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2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3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4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5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6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7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8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89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0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1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2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3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4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5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6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8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79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0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1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2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3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4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5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6" sqref="K986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cc rId="2720" sId="6">
    <oc r="G15" t="inlineStr">
      <is>
        <t>Risk Management komite</t>
      </is>
    </oc>
    <nc r="G15"/>
  </rcc>
  <rcc rId="2721" sId="6">
    <oc r="H15" t="inlineStr">
      <is>
        <t>Utdanning</t>
      </is>
    </oc>
    <nc r="H15"/>
  </rcc>
  <rcc rId="2722" sId="6">
    <oc r="I15" t="inlineStr">
      <is>
        <t>Org.utvikling</t>
      </is>
    </oc>
    <nc r="I15"/>
  </rcc>
  <rcc rId="2723" sId="6">
    <oc r="J15" t="inlineStr">
      <is>
        <t>Informasjon</t>
      </is>
    </oc>
    <nc r="J15"/>
  </rcc>
  <rcc rId="2724" sId="6" numFmtId="4">
    <oc r="D3">
      <v>4500</v>
    </oc>
    <nc r="D3"/>
  </rcc>
  <rcc rId="2725" sId="6" numFmtId="4">
    <oc r="E3">
      <v>4500</v>
    </oc>
    <nc r="E3"/>
  </rcc>
  <rcc rId="2726" sId="6" numFmtId="4">
    <oc r="F3">
      <v>3000</v>
    </oc>
    <nc r="F3"/>
  </rcc>
  <rcc rId="2727" sId="6" numFmtId="4">
    <oc r="G3">
      <v>10000</v>
    </oc>
    <nc r="G3"/>
  </rcc>
  <rcc rId="2728" sId="6" numFmtId="4">
    <oc r="H3">
      <v>7500</v>
    </oc>
    <nc r="H3"/>
  </rcc>
  <rcc rId="2729" sId="6" numFmtId="4">
    <oc r="I3">
      <v>4500</v>
    </oc>
    <nc r="I3"/>
  </rcc>
  <rcc rId="2730" sId="6" numFmtId="4">
    <oc r="J3">
      <v>3000</v>
    </oc>
    <nc r="J3"/>
  </rcc>
  <rcc rId="2731" sId="6" numFmtId="4">
    <oc r="E4">
      <v>4500</v>
    </oc>
    <nc r="E4"/>
  </rcc>
  <rcc rId="2732" sId="6" numFmtId="4">
    <oc r="F4">
      <v>3000</v>
    </oc>
    <nc r="F4"/>
  </rcc>
  <rcc rId="2733" sId="6" numFmtId="4">
    <oc r="G4">
      <v>10000</v>
    </oc>
    <nc r="G4"/>
  </rcc>
  <rcc rId="2734" sId="6" numFmtId="4">
    <oc r="H4">
      <v>6000</v>
    </oc>
    <nc r="H4"/>
  </rcc>
  <rcc rId="2735" sId="6" numFmtId="4">
    <oc r="I4">
      <v>4500</v>
    </oc>
    <nc r="I4"/>
  </rcc>
  <rcc rId="2736" sId="6" numFmtId="4">
    <oc r="J4">
      <v>3000</v>
    </oc>
    <nc r="J4"/>
  </rcc>
  <rcc rId="2737" sId="6" numFmtId="4">
    <oc r="G8">
      <v>12000</v>
    </oc>
    <nc r="G8"/>
  </rcc>
  <rcc rId="2738" sId="6" numFmtId="4">
    <oc r="E10">
      <v>1500</v>
    </oc>
    <nc r="E10"/>
  </rcc>
  <rcc rId="2739" sId="6" numFmtId="4">
    <oc r="F10">
      <v>1500</v>
    </oc>
    <nc r="F10"/>
  </rcc>
  <rcc rId="2740" sId="6" numFmtId="4">
    <oc r="G10">
      <v>1500</v>
    </oc>
    <nc r="G10"/>
  </rcc>
  <rcc rId="2741" sId="6" numFmtId="4">
    <oc r="H10">
      <v>1500</v>
    </oc>
    <nc r="H10"/>
  </rcc>
  <rcc rId="2742" sId="6" numFmtId="4">
    <oc r="I10">
      <v>1500</v>
    </oc>
    <nc r="I10"/>
  </rcc>
  <rcc rId="2743" sId="6" numFmtId="4">
    <oc r="J10">
      <v>500</v>
    </oc>
    <nc r="J10"/>
  </rcc>
  <rcc rId="2744" sId="6" numFmtId="4">
    <oc r="B3">
      <v>3000</v>
    </oc>
    <nc r="B3">
      <v>6000</v>
    </nc>
  </rcc>
  <rcc rId="2745" sId="6" numFmtId="4">
    <oc r="B4">
      <v>3000</v>
    </oc>
    <nc r="B4">
      <v>7500</v>
    </nc>
  </rcc>
  <rcc rId="2746" sId="6" numFmtId="4">
    <nc r="B5">
      <v>0</v>
    </nc>
  </rcc>
  <rcc rId="2747" sId="6" numFmtId="4">
    <nc r="B6">
      <v>0</v>
    </nc>
  </rcc>
  <rcc rId="2748" sId="6" numFmtId="4">
    <nc r="B7">
      <v>0</v>
    </nc>
  </rcc>
  <rcc rId="2749" sId="6" numFmtId="4">
    <nc r="B8">
      <v>25000</v>
    </nc>
  </rcc>
  <rcc rId="2750" sId="6" numFmtId="4">
    <nc r="B9">
      <v>0</v>
    </nc>
  </rcc>
  <rcc rId="2751" sId="6" numFmtId="4">
    <oc r="B10">
      <v>500</v>
    </oc>
    <nc r="B10">
      <v>3000</v>
    </nc>
  </rcc>
  <rcc rId="2752" sId="6" numFmtId="4">
    <nc r="B11">
      <v>6000</v>
    </nc>
  </rcc>
  <rcc rId="2753" sId="6" numFmtId="4">
    <oc r="C3">
      <v>1200</v>
    </oc>
    <nc r="C3">
      <v>14000</v>
    </nc>
  </rcc>
  <rcc rId="2754" sId="6" numFmtId="4">
    <oc r="C4">
      <v>1000</v>
    </oc>
    <nc r="C4">
      <v>14000</v>
    </nc>
  </rcc>
  <rcc rId="2755" sId="6" numFmtId="4">
    <nc r="C5">
      <v>20000</v>
    </nc>
  </rcc>
  <rcc rId="2756" sId="6" numFmtId="4">
    <nc r="C11">
      <v>14000</v>
    </nc>
  </rcc>
  <rcc rId="2757" sId="6" numFmtId="4">
    <oc r="C10">
      <v>1500</v>
    </oc>
    <nc r="C10">
      <v>2500</v>
    </nc>
  </rcc>
  <rcc rId="2758" sId="6">
    <oc r="A14" t="inlineStr">
      <is>
        <t>Fast ledertrening</t>
      </is>
    </oc>
    <nc r="A14" t="inlineStr">
      <is>
        <t xml:space="preserve">Fast ledertrening/utdanning </t>
      </is>
    </nc>
  </rcc>
  <rcc rId="2759" sId="6">
    <nc r="K24">
      <f>SUM(B24:J24)</f>
    </nc>
  </rcc>
  <rcc rId="2760" sId="6" numFmtId="4">
    <oc r="C22">
      <v>3000</v>
    </oc>
    <nc r="C22">
      <v>4500</v>
    </nc>
  </rcc>
  <rcc rId="2761" sId="6" odxf="1" dxf="1" numFmtId="4">
    <oc r="C23">
      <v>2500</v>
    </oc>
    <nc r="C23">
      <v>4500</v>
    </nc>
    <ndxf>
      <fill>
        <patternFill>
          <bgColor rgb="FF92D050"/>
        </patternFill>
      </fill>
    </ndxf>
  </rcc>
  <rcc rId="2762" sId="6" odxf="1" dxf="1" numFmtId="4">
    <oc r="C24">
      <v>2500</v>
    </oc>
    <nc r="C24">
      <v>4500</v>
    </nc>
    <ndxf>
      <fill>
        <patternFill>
          <bgColor rgb="FF92D050"/>
        </patternFill>
      </fill>
    </ndxf>
  </rcc>
  <rcc rId="2763" sId="6" numFmtId="4">
    <oc r="D10">
      <v>500</v>
    </oc>
    <nc r="D10">
      <v>1500</v>
    </nc>
  </rcc>
  <rcc rId="2764" sId="6" numFmtId="4">
    <oc r="D4">
      <v>4500</v>
    </oc>
    <nc r="D4">
      <v>9000</v>
    </nc>
  </rcc>
  <rcc rId="2765" sId="6">
    <oc r="H31">
      <v>6000</v>
    </oc>
    <nc r="H31">
      <v>9000</v>
    </nc>
  </rcc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94" sId="8" numFmtId="34">
    <oc r="E124">
      <v>1334472</v>
    </oc>
    <nc r="E124">
      <v>1321000</v>
    </nc>
  </rcc>
  <rfmt sheetId="8" sqref="E124">
    <dxf>
      <fill>
        <patternFill>
          <bgColor rgb="FF92D050"/>
        </patternFill>
      </fill>
    </dxf>
  </rfmt>
  <rfmt sheetId="8" sqref="E124" start="0" length="2147483647">
    <dxf>
      <font>
        <color auto="1"/>
      </font>
    </dxf>
  </rfmt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3" start="0" length="0">
    <dxf>
      <fill>
        <patternFill>
          <bgColor rgb="FF92D050"/>
        </patternFill>
      </fill>
    </dxf>
  </rfmt>
  <rfmt sheetId="6" sqref="C3" start="0" length="0">
    <dxf>
      <fill>
        <patternFill>
          <bgColor rgb="FF92D050"/>
        </patternFill>
      </fill>
    </dxf>
  </rfmt>
  <rcc rId="2768" sId="6" odxf="1" dxf="1" numFmtId="4">
    <nc r="D3">
      <v>9000</v>
    </nc>
    <ndxf>
      <fill>
        <patternFill>
          <bgColor rgb="FF92D050"/>
        </patternFill>
      </fill>
    </ndxf>
  </rcc>
  <rfmt sheetId="6" sqref="B4" start="0" length="0">
    <dxf>
      <fill>
        <patternFill>
          <bgColor rgb="FF92D050"/>
        </patternFill>
      </fill>
    </dxf>
  </rfmt>
  <rfmt sheetId="6" sqref="C4" start="0" length="0">
    <dxf>
      <fill>
        <patternFill>
          <bgColor rgb="FF92D050"/>
        </patternFill>
      </fill>
    </dxf>
  </rfmt>
  <rfmt sheetId="6" sqref="D4" start="0" length="0">
    <dxf>
      <fill>
        <patternFill>
          <bgColor rgb="FF92D050"/>
        </patternFill>
      </fill>
    </dxf>
  </rfmt>
  <rfmt sheetId="6" sqref="B5" start="0" length="0">
    <dxf>
      <fill>
        <patternFill>
          <bgColor rgb="FF92D050"/>
        </patternFill>
      </fill>
    </dxf>
  </rfmt>
  <rfmt sheetId="6" sqref="C5" start="0" length="0">
    <dxf>
      <fill>
        <patternFill>
          <bgColor rgb="FF92D050"/>
        </patternFill>
      </fill>
    </dxf>
  </rfmt>
  <rfmt sheetId="6" sqref="D5" start="0" length="0">
    <dxf>
      <fill>
        <patternFill>
          <bgColor rgb="FF92D050"/>
        </patternFill>
      </fill>
    </dxf>
  </rfmt>
  <rfmt sheetId="6" sqref="B6" start="0" length="0">
    <dxf>
      <fill>
        <patternFill>
          <bgColor rgb="FF92D050"/>
        </patternFill>
      </fill>
    </dxf>
  </rfmt>
  <rfmt sheetId="6" sqref="C6" start="0" length="0">
    <dxf>
      <fill>
        <patternFill>
          <bgColor rgb="FF92D050"/>
        </patternFill>
      </fill>
    </dxf>
  </rfmt>
  <rfmt sheetId="6" sqref="D6" start="0" length="0">
    <dxf>
      <fill>
        <patternFill>
          <bgColor rgb="FF92D050"/>
        </patternFill>
      </fill>
    </dxf>
  </rfmt>
  <rfmt sheetId="6" sqref="B7" start="0" length="0">
    <dxf>
      <fill>
        <patternFill>
          <bgColor rgb="FF92D050"/>
        </patternFill>
      </fill>
    </dxf>
  </rfmt>
  <rfmt sheetId="6" sqref="C7" start="0" length="0">
    <dxf>
      <fill>
        <patternFill>
          <bgColor rgb="FF92D050"/>
        </patternFill>
      </fill>
    </dxf>
  </rfmt>
  <rfmt sheetId="6" sqref="D7" start="0" length="0">
    <dxf>
      <fill>
        <patternFill>
          <bgColor rgb="FF92D050"/>
        </patternFill>
      </fill>
    </dxf>
  </rfmt>
  <rfmt sheetId="6" sqref="B8" start="0" length="0">
    <dxf>
      <fill>
        <patternFill>
          <bgColor rgb="FF92D050"/>
        </patternFill>
      </fill>
    </dxf>
  </rfmt>
  <rfmt sheetId="6" sqref="C8" start="0" length="0">
    <dxf>
      <fill>
        <patternFill>
          <bgColor rgb="FF92D050"/>
        </patternFill>
      </fill>
    </dxf>
  </rfmt>
  <rfmt sheetId="6" sqref="D8" start="0" length="0">
    <dxf>
      <fill>
        <patternFill>
          <bgColor rgb="FF92D050"/>
        </patternFill>
      </fill>
    </dxf>
  </rfmt>
  <rfmt sheetId="6" sqref="B9" start="0" length="0">
    <dxf>
      <fill>
        <patternFill>
          <bgColor rgb="FF92D050"/>
        </patternFill>
      </fill>
    </dxf>
  </rfmt>
  <rfmt sheetId="6" sqref="C9" start="0" length="0">
    <dxf>
      <fill>
        <patternFill>
          <bgColor rgb="FF92D050"/>
        </patternFill>
      </fill>
    </dxf>
  </rfmt>
  <rfmt sheetId="6" sqref="D9" start="0" length="0">
    <dxf>
      <fill>
        <patternFill>
          <bgColor rgb="FF92D050"/>
        </patternFill>
      </fill>
    </dxf>
  </rfmt>
  <rfmt sheetId="6" sqref="B10" start="0" length="0">
    <dxf>
      <fill>
        <patternFill>
          <bgColor rgb="FF92D050"/>
        </patternFill>
      </fill>
    </dxf>
  </rfmt>
  <rfmt sheetId="6" sqref="C10" start="0" length="0">
    <dxf>
      <fill>
        <patternFill>
          <bgColor rgb="FF92D050"/>
        </patternFill>
      </fill>
    </dxf>
  </rfmt>
  <rfmt sheetId="6" sqref="D10" start="0" length="0">
    <dxf>
      <fill>
        <patternFill>
          <bgColor rgb="FF92D050"/>
        </patternFill>
      </fill>
    </dxf>
  </rfmt>
  <rfmt sheetId="6" sqref="B11" start="0" length="0">
    <dxf>
      <fill>
        <patternFill>
          <bgColor rgb="FF92D050"/>
        </patternFill>
      </fill>
    </dxf>
  </rfmt>
  <rfmt sheetId="6" sqref="C11" start="0" length="0">
    <dxf>
      <fill>
        <patternFill>
          <bgColor rgb="FF92D050"/>
        </patternFill>
      </fill>
    </dxf>
  </rfmt>
  <rcc rId="2769" sId="6" odxf="1" dxf="1" numFmtId="4">
    <nc r="D11">
      <v>9000</v>
    </nc>
    <ndxf>
      <fill>
        <patternFill>
          <bgColor rgb="FF92D050"/>
        </patternFill>
      </fill>
    </ndxf>
  </rcc>
  <rcc rId="2770" sId="6" odxf="1" dxf="1" numFmtId="4">
    <nc r="E3">
      <v>20000</v>
    </nc>
    <ndxf>
      <fill>
        <patternFill>
          <bgColor rgb="FF92D050"/>
        </patternFill>
      </fill>
    </ndxf>
  </rcc>
  <rcc rId="2771" sId="6" odxf="1" dxf="1" numFmtId="4">
    <nc r="E4">
      <v>20000</v>
    </nc>
    <ndxf>
      <fill>
        <patternFill>
          <bgColor rgb="FF92D050"/>
        </patternFill>
      </fill>
    </ndxf>
  </rcc>
  <rfmt sheetId="6" sqref="E5" start="0" length="0">
    <dxf>
      <fill>
        <patternFill>
          <bgColor rgb="FF92D050"/>
        </patternFill>
      </fill>
    </dxf>
  </rfmt>
  <rfmt sheetId="6" sqref="E6" start="0" length="0">
    <dxf>
      <fill>
        <patternFill>
          <bgColor rgb="FF92D050"/>
        </patternFill>
      </fill>
    </dxf>
  </rfmt>
  <rfmt sheetId="6" sqref="E7" start="0" length="0">
    <dxf>
      <fill>
        <patternFill>
          <bgColor rgb="FF92D050"/>
        </patternFill>
      </fill>
    </dxf>
  </rfmt>
  <rfmt sheetId="6" sqref="E8" start="0" length="0">
    <dxf>
      <fill>
        <patternFill>
          <bgColor rgb="FF92D050"/>
        </patternFill>
      </fill>
    </dxf>
  </rfmt>
  <rfmt sheetId="6" sqref="E9" start="0" length="0">
    <dxf>
      <fill>
        <patternFill>
          <bgColor rgb="FF92D050"/>
        </patternFill>
      </fill>
    </dxf>
  </rfmt>
  <rcc rId="2772" sId="6" odxf="1" dxf="1" numFmtId="4">
    <nc r="E10">
      <v>14000</v>
    </nc>
    <ndxf>
      <fill>
        <patternFill>
          <bgColor rgb="FF92D050"/>
        </patternFill>
      </fill>
    </ndxf>
  </rcc>
  <rcc rId="2773" sId="6" odxf="1" dxf="1" numFmtId="4">
    <nc r="E11">
      <v>20000</v>
    </nc>
    <ndxf>
      <fill>
        <patternFill>
          <bgColor rgb="FF92D050"/>
        </patternFill>
      </fill>
    </ndxf>
  </rcc>
  <rcc rId="2774" sId="6" numFmtId="4">
    <nc r="F10">
      <v>1500</v>
    </nc>
  </rcc>
  <rcc rId="2775" sId="6" numFmtId="4">
    <nc r="F11">
      <v>3000</v>
    </nc>
  </rcc>
  <rcc rId="2776" sId="6" numFmtId="4">
    <nc r="F3">
      <v>1500</v>
    </nc>
  </rcc>
  <rcc rId="2777" sId="6" numFmtId="4">
    <nc r="F4">
      <v>4500</v>
    </nc>
  </rcc>
  <rfmt sheetId="6" sqref="F3:F11">
    <dxf>
      <fill>
        <patternFill>
          <bgColor rgb="FF92D050"/>
        </patternFill>
      </fill>
    </dxf>
  </rfmt>
  <rcc rId="2778" sId="6" numFmtId="4">
    <nc r="G11">
      <v>12500</v>
    </nc>
  </rcc>
  <rcc rId="2779" sId="6" numFmtId="4">
    <nc r="G3">
      <v>10000</v>
    </nc>
  </rcc>
  <rcc rId="2780" sId="6" numFmtId="4">
    <nc r="G4">
      <v>10000</v>
    </nc>
  </rcc>
  <rcc rId="2781" sId="6" numFmtId="4">
    <nc r="G8">
      <v>10000</v>
    </nc>
  </rcc>
  <rcc rId="2782" sId="6" numFmtId="4">
    <nc r="G10">
      <v>2500</v>
    </nc>
  </rcc>
  <rfmt sheetId="6" sqref="G3:G11">
    <dxf>
      <fill>
        <patternFill>
          <bgColor rgb="FF92D050"/>
        </patternFill>
      </fill>
    </dxf>
  </rfmt>
  <rcmt sheetId="6" cell="J3" guid="{00000000-0000-0000-0000-000000000000}" action="delete" author="Berge, Knut Audun Monen"/>
  <rcc rId="2783" sId="6" numFmtId="4">
    <nc r="J10">
      <v>1500</v>
    </nc>
  </rcc>
  <rcc rId="2784" sId="6" numFmtId="4">
    <nc r="H3">
      <v>4500</v>
    </nc>
  </rcc>
  <rcc rId="2785" sId="6" numFmtId="4">
    <nc r="H10">
      <v>1500</v>
    </nc>
  </rcc>
  <rcc rId="2786" sId="6" numFmtId="4">
    <nc r="H4">
      <v>4500</v>
    </nc>
  </rcc>
  <rcc rId="2787" sId="6" numFmtId="4">
    <nc r="H11">
      <v>4500</v>
    </nc>
  </rcc>
  <rcc rId="2788" sId="6" numFmtId="4">
    <nc r="H8">
      <f>20000+12000</f>
    </nc>
  </rcc>
  <rfmt sheetId="6" sqref="H3:H11">
    <dxf>
      <fill>
        <patternFill>
          <bgColor rgb="FF92D050"/>
        </patternFill>
      </fill>
    </dxf>
  </rfmt>
  <rcc rId="2789" sId="6" numFmtId="4">
    <nc r="I10">
      <v>1500</v>
    </nc>
  </rcc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92" sId="10">
    <nc r="A8" t="inlineStr">
      <is>
        <t>Studieforbundet for Næring og Samfunn</t>
      </is>
    </nc>
  </rcc>
  <rfmt sheetId="10" sqref="B8" start="0" length="0">
    <dxf>
      <font>
        <sz val="10"/>
        <color rgb="FF000000"/>
        <name val="Arial"/>
        <family val="2"/>
        <scheme val="none"/>
      </font>
    </dxf>
  </rfmt>
  <rcc rId="2793" sId="10">
    <nc r="B8" t="inlineStr">
      <is>
        <t>SNS - nasjonale møter</t>
      </is>
    </nc>
  </rcc>
  <rcc rId="2794" sId="10">
    <oc r="C7" t="inlineStr">
      <is>
        <t>Vår 2019</t>
      </is>
    </oc>
    <nc r="C7">
      <v>2020</v>
    </nc>
  </rcc>
  <rcc rId="2795" sId="10" odxf="1" dxf="1">
    <nc r="C8">
      <v>2020</v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796" sId="10">
    <oc r="C6">
      <v>2019</v>
    </oc>
    <nc r="C6">
      <v>2020</v>
    </nc>
  </rcc>
  <rcc rId="2797" sId="10" numFmtId="4">
    <nc r="D8">
      <v>20000</v>
    </nc>
  </rcc>
  <rcc rId="2798" sId="10" numFmtId="4">
    <nc r="E8">
      <v>20000</v>
    </nc>
  </rcc>
  <rcc rId="2799" sId="10" numFmtId="4">
    <nc r="G8">
      <v>20000</v>
    </nc>
  </rcc>
  <rcv guid="{845F3A43-EF96-4057-9777-D2F2301CC149}" action="delete"/>
  <rdn rId="0" localSheetId="2" customView="1" name="Z_845F3A43_EF96_4057_9777_D2F2301CC149_.wvu.Cols" hidden="1" oldHidden="1">
    <formula>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02" sId="2">
    <oc r="L36">
      <f>Prosjekter!E8+Prosjekter!E9</f>
    </oc>
    <nc r="L36"/>
  </rcc>
  <rrc rId="2803" sId="2" ref="A36:XFD36" action="deleteRow">
    <undo index="65535" exp="ref" ref3D="1" v="1" dr="C36" r="C37" sId="1"/>
    <undo index="65535" exp="ref" ref3D="1" v="1" dr="A36" r="A37" sId="1"/>
    <undo index="65535" exp="area" ref3D="1" dr="$M$1:$M$1048576" dn="Z_845F3A43_EF96_4057_9777_D2F2301CC149_.wvu.Cols" sId="2"/>
    <undo index="65535" exp="area" ref3D="1" dr="$K$1:$K$1048576" dn="Z_845F3A43_EF96_4057_9777_D2F2301CC149_.wvu.Cols" sId="2"/>
    <undo index="1" exp="area" ref3D="1" dr="$G$1:$G$1048576" dn="Z_845F3A43_EF96_4057_9777_D2F2301CC149_.wvu.Cols" sId="2"/>
    <undo index="65535" exp="area" ref3D="1" dr="$D$1:$E$1048576" dn="Z_CF50DB9B_0F8D_41A5_9576_F9345942CE97_.wvu.Cols" sId="2"/>
    <rfmt sheetId="2" xfDxf="1" sqref="A36:XFD36" start="0" length="0"/>
    <rcc rId="0" sId="2" dxf="1">
      <nc r="A36">
        <v>5002</v>
      </nc>
      <ndxf>
        <font>
          <sz val="11"/>
          <color rgb="FF000000"/>
          <name val="Calibri"/>
          <family val="2"/>
          <scheme val="none"/>
        </font>
      </ndxf>
    </rcc>
    <rcc rId="0" sId="2" dxf="1">
      <nc r="B36" t="inlineStr">
        <is>
          <t>Lommepenger (EVS)</t>
        </is>
      </nc>
      <ndxf>
        <font>
          <sz val="10"/>
          <color rgb="FF000000"/>
          <name val="Calibri"/>
          <family val="2"/>
          <scheme val="none"/>
        </font>
      </ndxf>
    </rcc>
    <rcc rId="0" sId="2" dxf="1">
      <nc r="C36">
        <f>F36+H36+J36+L36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>
      <nc r="D36">
        <f>C36-E36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E7E6E6"/>
            <bgColor rgb="FFE7E6E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 numFmtId="4">
      <nc r="E36">
        <v>237000</v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cc rId="0" sId="2" dxf="1">
      <nc r="F36">
        <f>Sentralt!F97</f>
      </nc>
      <n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ndxf>
    </rcc>
    <rfmt sheetId="2" sqref="G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H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I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J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K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border outline="0">
          <right style="thin">
            <color rgb="FF000000"/>
          </right>
        </border>
      </dxf>
    </rfmt>
    <rfmt sheetId="2" sqref="L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  <rfmt sheetId="2" sqref="M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FFFF"/>
            <bgColor rgb="FFFFFFFF"/>
          </patternFill>
        </fill>
      </dxf>
    </rfmt>
    <rfmt sheetId="2" sqref="N36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</dxf>
    </rfmt>
    <rfmt sheetId="2" sqref="O36" start="0" length="0">
      <dxf>
        <font>
          <sz val="11"/>
          <color rgb="FF000000"/>
          <name val="Calibri"/>
          <family val="2"/>
          <scheme val="none"/>
        </font>
      </dxf>
    </rfmt>
    <rfmt sheetId="2" sqref="P36" start="0" length="0">
      <dxf>
        <font>
          <sz val="11"/>
          <color rgb="FF000000"/>
          <name val="Calibri"/>
          <family val="2"/>
          <scheme val="none"/>
        </font>
      </dxf>
    </rfmt>
    <rfmt sheetId="2" sqref="Q36" start="0" length="0">
      <dxf>
        <font>
          <sz val="11"/>
          <color rgb="FF000000"/>
          <name val="Calibri"/>
          <family val="2"/>
          <scheme val="none"/>
        </font>
      </dxf>
    </rfmt>
    <rfmt sheetId="2" sqref="R36" start="0" length="0">
      <dxf>
        <font>
          <sz val="11"/>
          <color rgb="FF000000"/>
          <name val="Calibri"/>
          <family val="2"/>
          <scheme val="none"/>
        </font>
      </dxf>
    </rfmt>
    <rfmt sheetId="2" sqref="S36" start="0" length="0">
      <dxf>
        <font>
          <sz val="11"/>
          <color rgb="FF000000"/>
          <name val="Calibri"/>
          <family val="2"/>
          <scheme val="none"/>
        </font>
      </dxf>
    </rfmt>
    <rfmt sheetId="2" sqref="T36" start="0" length="0">
      <dxf>
        <font>
          <sz val="11"/>
          <color rgb="FF000000"/>
          <name val="Calibri"/>
          <family val="2"/>
          <scheme val="none"/>
        </font>
      </dxf>
    </rfmt>
    <rfmt sheetId="2" sqref="U36" start="0" length="0">
      <dxf>
        <font>
          <sz val="11"/>
          <color rgb="FF000000"/>
          <name val="Calibri"/>
          <family val="2"/>
          <scheme val="none"/>
        </font>
      </dxf>
    </rfmt>
    <rfmt sheetId="2" sqref="V36" start="0" length="0">
      <dxf>
        <font>
          <sz val="11"/>
          <color rgb="FF000000"/>
          <name val="Calibri"/>
          <family val="2"/>
          <scheme val="none"/>
        </font>
      </dxf>
    </rfmt>
    <rfmt sheetId="2" sqref="W36" start="0" length="0">
      <dxf>
        <font>
          <sz val="11"/>
          <color rgb="FF000000"/>
          <name val="Calibri"/>
          <family val="2"/>
          <scheme val="none"/>
        </font>
      </dxf>
    </rfmt>
    <rfmt sheetId="2" sqref="X36" start="0" length="0">
      <dxf>
        <font>
          <sz val="11"/>
          <color rgb="FF000000"/>
          <name val="Calibri"/>
          <family val="2"/>
          <scheme val="none"/>
        </font>
      </dxf>
    </rfmt>
    <rfmt sheetId="2" sqref="Y36" start="0" length="0">
      <dxf>
        <font>
          <sz val="11"/>
          <color rgb="FF000000"/>
          <name val="Calibri"/>
          <family val="2"/>
          <scheme val="none"/>
        </font>
      </dxf>
    </rfmt>
    <rfmt sheetId="2" sqref="Z36" start="0" length="0">
      <dxf>
        <font>
          <sz val="11"/>
          <color rgb="FF000000"/>
          <name val="Calibri"/>
          <family val="2"/>
          <scheme val="none"/>
        </font>
      </dxf>
    </rfmt>
  </rrc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04" sId="3">
    <oc r="B13">
      <f>Prosjekter!G13</f>
    </oc>
    <nc r="B13">
      <f>Prosjekter!G6</f>
    </nc>
  </rcc>
  <rrc rId="2805" sId="3" ref="A14:XFD14" action="insertRow"/>
  <rcc rId="2806" sId="3">
    <nc r="A14" t="inlineStr">
      <is>
        <t>Andre inntekter</t>
      </is>
    </nc>
  </rcc>
  <rcc rId="2807" sId="2">
    <oc r="L10">
      <f>(Prosjekter!E13-Prosjekter!E6-Prosjekter!E7)</f>
    </oc>
    <nc r="L10"/>
  </rcc>
  <rcc rId="2808" sId="3">
    <nc r="B14">
      <f>Prosjekter!G8</f>
    </nc>
  </rcc>
  <rcc rId="2809" sId="2">
    <oc r="F10">
      <f>Sentralt!B9+Sentralt!B10</f>
    </oc>
    <nc r="F10">
      <f>Sentralt!B9+Sentralt!B10+Sentralt!B14</f>
    </nc>
  </rcc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10" sId="2">
    <oc r="B5" t="inlineStr">
      <is>
        <t>Salgsinntekter, avgiftsfrie</t>
      </is>
    </oc>
    <nc r="B5" t="inlineStr">
      <is>
        <t>Inntekter med direkte kostnader</t>
      </is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Budsjett_enkel!$D:$E,Budsjett_enkel!$G:$G,Budsjett_enkel!$K:$K,Budsjett_enkel!$M:$M</formula>
    <oldFormula>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B63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B64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2813" sId="8">
    <oc r="B25">
      <f>690*1.02</f>
    </oc>
    <nc r="B25">
      <f>690*1.05</f>
    </nc>
  </rcc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Budsjett_enkel!$D:$E,Budsjett_enkel!$G:$G,Budsjett_enkel!$K:$K,Budsjett_enkel!$M:$M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16" sId="8" numFmtId="4">
    <oc r="B126">
      <v>750000</v>
    </oc>
    <nc r="B126">
      <v>800000</v>
    </nc>
  </rcc>
  <rcc rId="2817" sId="8">
    <oc r="B131">
      <f>B130*0.4</f>
    </oc>
    <nc r="B131">
      <f>B130*0.35</f>
    </nc>
  </rcc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18" sId="12">
    <oc r="I17">
      <v>-1000</v>
    </oc>
    <nc r="I17"/>
  </rcc>
  <rcc rId="2819" sId="12">
    <oc r="I18">
      <v>-1000</v>
    </oc>
    <nc r="I18"/>
  </rcc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820" sId="12" ref="A8:XFD8" action="insertRow"/>
  <rcc rId="2821" sId="12">
    <nc r="F3">
      <v>1520</v>
    </nc>
  </rcc>
  <rcc rId="2822" sId="12">
    <nc r="F4">
      <v>1320</v>
    </nc>
  </rcc>
  <rcc rId="2823" sId="12">
    <nc r="F5">
      <v>1220</v>
    </nc>
  </rcc>
  <rcc rId="2824" sId="12">
    <nc r="F6">
      <v>1120</v>
    </nc>
  </rcc>
  <rcc rId="2825" sId="12">
    <nc r="F7">
      <v>605</v>
    </nc>
  </rcc>
  <rcc rId="2826" sId="12">
    <nc r="F2" t="inlineStr">
      <is>
        <t>Pris per rom 2020</t>
      </is>
    </nc>
  </rcc>
  <rrc rId="2827" sId="12" ref="A9:XFD9" action="insertRow"/>
  <rcc rId="2828" sId="12">
    <nc r="F8">
      <v>6000</v>
    </nc>
  </rcc>
  <rcc rId="2829" sId="12">
    <nc r="F9">
      <v>3000</v>
    </nc>
  </rcc>
  <rrc rId="2830" sId="12" ref="A10:XFD10" action="insertRow"/>
  <rcc rId="2831" sId="12">
    <nc r="F10">
      <v>1500</v>
    </nc>
  </rcc>
  <rcc rId="2832" sId="12">
    <nc r="A8" t="inlineStr">
      <is>
        <t>Møterom stort per dag</t>
      </is>
    </nc>
  </rcc>
  <rcc rId="2833" sId="12">
    <nc r="A9" t="inlineStr">
      <is>
        <t>Mellomstort per dag</t>
      </is>
    </nc>
  </rcc>
  <rcc rId="2834" sId="12">
    <nc r="A10" t="inlineStr">
      <is>
        <t>Lite møterom per dag</t>
      </is>
    </nc>
  </rcc>
  <rcc rId="2835" sId="12">
    <nc r="G2" t="inlineStr">
      <is>
        <t>Antall dager</t>
      </is>
    </nc>
  </rcc>
  <rcc rId="2836" sId="12">
    <nc r="G8">
      <v>6</v>
    </nc>
  </rcc>
  <rcc rId="2837" sId="12">
    <nc r="G9">
      <v>6</v>
    </nc>
  </rcc>
  <rcc rId="2838" sId="12">
    <nc r="G10">
      <v>3</v>
    </nc>
  </rcc>
  <rcc rId="2839" sId="12">
    <nc r="H8">
      <f>F8*G8</f>
    </nc>
  </rcc>
  <rcc rId="2840" sId="12">
    <nc r="H9">
      <f>F9*G9</f>
    </nc>
  </rcc>
  <rcc rId="2841" sId="12">
    <nc r="H10">
      <f>F10*G10</f>
    </nc>
  </rcc>
  <rcc rId="2842" sId="12">
    <nc r="H11">
      <f>SUM(H8:H10)</f>
    </nc>
  </rcc>
  <rfmt sheetId="12" sqref="H8:H11">
    <dxf>
      <numFmt numFmtId="164" formatCode="_ * #,##0.00_ ;_ * \-#,##0.00_ ;_ * &quot;-&quot;??_ ;_ @_ "/>
    </dxf>
  </rfmt>
  <rfmt sheetId="12" sqref="H8:H11">
    <dxf>
      <numFmt numFmtId="183" formatCode="_ * #,##0.0_ ;_ * \-#,##0.0_ ;_ * &quot;-&quot;??_ ;_ @_ "/>
    </dxf>
  </rfmt>
  <rfmt sheetId="12" sqref="H8:H11">
    <dxf>
      <numFmt numFmtId="176" formatCode="_ * #,##0_ ;_ * \-#,##0_ ;_ * &quot;-&quot;??_ ;_ @_ "/>
    </dxf>
  </rfmt>
  <rcc rId="2843" sId="12">
    <nc r="O3" t="inlineStr">
      <is>
        <t>Hvem deltar på HM:</t>
      </is>
    </nc>
  </rcc>
  <rcc rId="2844" sId="12">
    <nc r="O5" t="inlineStr">
      <is>
        <t>LAG</t>
      </is>
    </nc>
  </rcc>
  <rcc rId="2845" sId="12">
    <nc r="P4" t="inlineStr">
      <is>
        <t>Antall</t>
      </is>
    </nc>
  </rcc>
  <rcc rId="2846" sId="12">
    <nc r="O6" t="inlineStr">
      <is>
        <t>Leirstart</t>
      </is>
    </nc>
  </rcc>
  <rcc rId="2847" sId="12">
    <nc r="P6">
      <v>12</v>
    </nc>
  </rcc>
  <rcc rId="2848" sId="12">
    <nc r="O7" t="inlineStr">
      <is>
        <t>Komiteer</t>
      </is>
    </nc>
  </rcc>
  <rcc rId="2849" sId="12">
    <nc r="P7">
      <v>19</v>
    </nc>
  </rcc>
  <rcc rId="2850" sId="12">
    <nc r="O8" t="inlineStr">
      <is>
        <t>Kompaz</t>
      </is>
    </nc>
  </rcc>
  <rcc rId="2851" sId="12">
    <nc r="P8">
      <v>1</v>
    </nc>
  </rcc>
  <rcc rId="2852" sId="12">
    <nc r="O9" t="inlineStr">
      <is>
        <t>Foredragsholder</t>
      </is>
    </nc>
  </rcc>
  <rfmt sheetId="12" sqref="O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853" sId="12">
    <nc r="P9">
      <v>1</v>
    </nc>
  </rcc>
  <rfmt sheetId="12" sqref="P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854" sId="12">
    <nc r="O10" t="inlineStr">
      <is>
        <t>Kontor</t>
      </is>
    </nc>
  </rcc>
  <rfmt sheetId="12" sqref="O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855" sId="12">
    <nc r="P10">
      <v>2</v>
    </nc>
  </rcc>
  <rfmt sheetId="12" sqref="P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856" sId="12">
    <nc r="O11" t="inlineStr">
      <is>
        <t>STS</t>
      </is>
    </nc>
  </rcc>
  <rfmt sheetId="12" sqref="O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857" sId="12">
    <nc r="P11">
      <v>4</v>
    </nc>
  </rcc>
  <rfmt sheetId="12" sqref="P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fmt sheetId="12" sqref="O4:P4" start="0" length="2147483647">
    <dxf>
      <font>
        <b/>
        <family val="2"/>
      </font>
    </dxf>
  </rfmt>
  <rcc rId="2858" sId="12">
    <nc r="P5">
      <v>55</v>
    </nc>
  </rcc>
  <rcc rId="2859" sId="12">
    <nc r="P3">
      <v>2018</v>
    </nc>
  </rcc>
  <rcc rId="2860" sId="12" odxf="1" dxf="1">
    <nc r="Q7" t="inlineStr">
      <is>
        <t>36 komitemedlemmer, men kun 19 som stilte. Hvorfor?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861" sId="12" odxf="1" dxf="1">
    <nc r="Q4" t="inlineStr">
      <is>
        <t>Kommentar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2" sqref="O4:O11" start="0" length="0">
    <dxf>
      <border>
        <left style="thin">
          <color indexed="64"/>
        </left>
      </border>
    </dxf>
  </rfmt>
  <rfmt sheetId="12" sqref="O4:Q4" start="0" length="0">
    <dxf>
      <border>
        <top style="thin">
          <color indexed="64"/>
        </top>
      </border>
    </dxf>
  </rfmt>
  <rfmt sheetId="12" sqref="Q4:Q11" start="0" length="0">
    <dxf>
      <border>
        <right style="thin">
          <color indexed="64"/>
        </right>
      </border>
    </dxf>
  </rfmt>
  <rfmt sheetId="12" sqref="O11:Q11" start="0" length="0">
    <dxf>
      <border>
        <bottom style="thin">
          <color indexed="64"/>
        </bottom>
      </border>
    </dxf>
  </rfmt>
  <rfmt sheetId="12" sqref="O4:Q1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2862" sId="12" odxf="1" dxf="1">
    <nc r="Q8" t="inlineStr">
      <is>
        <t>Utgår.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863" sId="12" odxf="1" dxf="1">
    <nc r="O13" t="inlineStr">
      <is>
        <t>Hvorfor HM?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864" sId="12" odxf="1" dxf="1">
    <nc r="Q13" t="inlineStr">
      <is>
        <t xml:space="preserve">2018 ca 35 deltakere på HM utenom RSM og leirstart. 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2" sqref="O13:O15" start="0" length="0">
    <dxf>
      <border>
        <left style="thin">
          <color indexed="64"/>
        </left>
      </border>
    </dxf>
  </rfmt>
  <rfmt sheetId="12" sqref="O13:Q13" start="0" length="0">
    <dxf>
      <border>
        <top style="thin">
          <color indexed="64"/>
        </top>
      </border>
    </dxf>
  </rfmt>
  <rfmt sheetId="12" sqref="Q13:Q15" start="0" length="0">
    <dxf>
      <border>
        <right style="thin">
          <color indexed="64"/>
        </right>
      </border>
    </dxf>
  </rfmt>
  <rfmt sheetId="12" sqref="O15:Q15" start="0" length="0">
    <dxf>
      <border>
        <bottom style="thin">
          <color indexed="64"/>
        </bottom>
      </border>
    </dxf>
  </rfmt>
  <rfmt sheetId="12" sqref="O13:Q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2865" sId="12">
    <oc r="B11">
      <f>E37</f>
    </oc>
    <nc r="B11">
      <v>55</v>
    </nc>
  </rcc>
  <rcc rId="2866" sId="12">
    <oc r="B12">
      <f>B37</f>
    </oc>
    <nc r="B12">
      <v>39</v>
    </nc>
  </rcc>
  <rcc rId="2867" sId="12">
    <nc r="B13">
      <v>39</v>
    </nc>
  </rcc>
  <rcc rId="2868" sId="12">
    <nc r="K30">
      <f>B16*D16</f>
    </nc>
  </rcc>
  <rcc rId="2869" sId="12" odxf="1">
    <nc r="K31">
      <f>B17*D17</f>
    </nc>
    <odxf/>
  </rcc>
  <rcc rId="2870" sId="12" odxf="1">
    <nc r="K32">
      <f>B18*D18</f>
    </nc>
    <odxf/>
  </rcc>
  <rcc rId="2871" sId="12" odxf="1">
    <nc r="K33">
      <f>B19*D19</f>
    </nc>
    <odxf/>
  </rcc>
  <rcc rId="2872" sId="12" odxf="1">
    <nc r="K34">
      <f>B20*D20</f>
    </nc>
    <odxf/>
  </rcc>
  <rcc rId="2873" sId="12" odxf="1">
    <nc r="K35">
      <f>B21*D21</f>
    </nc>
    <odxf/>
  </rcc>
  <rcc rId="2874" sId="12">
    <nc r="K36">
      <f>SUM(K30:K35)</f>
    </nc>
  </rcc>
  <rcc rId="2875" sId="12" odxf="1" dxf="1">
    <nc r="K28" t="inlineStr">
      <is>
        <t>Leie lokaler inntekt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2" sqref="K36" start="0" length="0">
    <dxf>
      <border>
        <left/>
        <right/>
        <top style="thin">
          <color indexed="64"/>
        </top>
        <bottom style="thin">
          <color indexed="64"/>
        </bottom>
      </border>
    </dxf>
  </rfmt>
  <rcc rId="2876" sId="12">
    <oc r="D16">
      <v>400</v>
    </oc>
    <nc r="D16">
      <v>550</v>
    </nc>
  </rcc>
  <rcc rId="2877" sId="12">
    <oc r="D17">
      <v>400</v>
    </oc>
    <nc r="D17">
      <v>550</v>
    </nc>
  </rcc>
  <rcc rId="2878" sId="12">
    <oc r="D20">
      <v>400</v>
    </oc>
    <nc r="D20">
      <v>550</v>
    </nc>
  </rcc>
  <rcc rId="2879" sId="12">
    <oc r="D21">
      <v>400</v>
    </oc>
    <nc r="D21">
      <v>550</v>
    </nc>
  </rcc>
  <rcc rId="2880" sId="12">
    <oc r="C16">
      <f>$E$4*2</f>
    </oc>
    <nc r="C16">
      <f>$F$4*2</f>
    </nc>
  </rcc>
  <rcc rId="2881" sId="12">
    <oc r="C17">
      <f>$E$4+$E$7</f>
    </oc>
    <nc r="C17">
      <f>$F$4+$F$7</f>
    </nc>
  </rcc>
  <rcc rId="2882" sId="12">
    <oc r="C20">
      <f>$E$4*2</f>
    </oc>
    <nc r="C20">
      <f>$F$4*2</f>
    </nc>
  </rcc>
  <rcc rId="2883" sId="12">
    <oc r="C21">
      <f>$E$4+$E$7</f>
    </oc>
    <nc r="C21">
      <f>$F$4+$F$7</f>
    </nc>
  </rcc>
  <rcc rId="2884" sId="12">
    <oc r="F20">
      <v>1400</v>
    </oc>
    <nc r="F20">
      <v>1500</v>
    </nc>
  </rcc>
  <rcc rId="2885" sId="12">
    <oc r="F21">
      <v>1400</v>
    </oc>
    <nc r="F21">
      <v>1500</v>
    </nc>
  </rcc>
  <rcc rId="2886" sId="12" odxf="1" dxf="1">
    <nc r="M15" t="inlineStr">
      <is>
        <t>Leirstart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2" sqref="M15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</dxf>
  </rfmt>
  <rcc rId="2887" sId="12">
    <nc r="M16">
      <f>J20*12</f>
    </nc>
  </rcc>
  <rcmt sheetId="12" cell="P5" guid="{ACEF8C8A-EAFC-449F-A0DA-6E700792C559}" author="Berge, Knut Audun Monen" newLength="130"/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90" sId="12">
    <oc r="M16">
      <f>J20*12</f>
    </oc>
    <nc r="M16">
      <f>J20*P6</f>
    </nc>
  </rcc>
  <rcc rId="2891" sId="8" numFmtId="4">
    <oc r="B119">
      <v>1000</v>
    </oc>
    <nc r="B119">
      <v>1500</v>
    </nc>
  </rcc>
  <rcc rId="2892" sId="8" numFmtId="4">
    <oc r="C119">
      <v>3000</v>
    </oc>
    <nc r="C119">
      <v>3200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123:A129" start="0" length="0">
    <dxf>
      <border>
        <left style="thin">
          <color indexed="64"/>
        </left>
      </border>
    </dxf>
  </rfmt>
  <rfmt sheetId="8" sqref="A123:B123" start="0" length="0">
    <dxf>
      <border>
        <top style="thin">
          <color indexed="64"/>
        </top>
      </border>
    </dxf>
  </rfmt>
  <rfmt sheetId="8" sqref="B123:B129" start="0" length="0">
    <dxf>
      <border>
        <right style="thin">
          <color indexed="64"/>
        </right>
      </border>
    </dxf>
  </rfmt>
  <rfmt sheetId="8" sqref="A129:B129" start="0" length="0">
    <dxf>
      <border>
        <bottom style="thin">
          <color indexed="64"/>
        </bottom>
      </border>
    </dxf>
  </rfmt>
  <rcc rId="2295" sId="8" numFmtId="4">
    <oc r="B124">
      <v>800000</v>
    </oc>
    <nc r="B124">
      <v>750000</v>
    </nc>
  </rcc>
  <rfmt sheetId="8" sqref="B124">
    <dxf>
      <fill>
        <patternFill>
          <bgColor rgb="FF92D050"/>
        </patternFill>
      </fill>
    </dxf>
  </rfmt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93" sId="8" numFmtId="4">
    <oc r="B129">
      <v>634</v>
    </oc>
    <nc r="B129">
      <v>673</v>
    </nc>
  </rcc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94" sId="12">
    <oc r="L24">
      <f>H24-K24</f>
    </oc>
    <nc r="L24">
      <f>H24-K24</f>
    </nc>
  </rcc>
  <rfmt sheetId="12" sqref="J22" start="0" length="0">
    <dxf>
      <font>
        <sz val="10"/>
        <color rgb="FF000000"/>
        <name val="Arial"/>
        <family val="2"/>
        <scheme val="none"/>
      </font>
    </dxf>
  </rfmt>
  <rfmt sheetId="12" sqref="J22">
    <dxf>
      <alignment wrapText="1"/>
    </dxf>
  </rfmt>
  <rcc rId="2895" sId="12">
    <oc r="K24">
      <f>SUM(K20:K23)</f>
    </oc>
    <nc r="K24">
      <f>SUM(K20:K23)</f>
    </nc>
  </rcc>
  <rm rId="2896" sheetId="12" source="J22" destination="A22" sourceSheetId="12"/>
  <rcc rId="2897" sId="12">
    <nc r="A22" t="inlineStr">
      <is>
        <t>Leirstartsem fra Program-fanen</t>
      </is>
    </nc>
  </rcc>
  <rcc rId="2898" sId="12">
    <oc r="H24">
      <f>SUM(H16:H23)</f>
    </oc>
    <nc r="H24">
      <f>SUM(H16:H23)</f>
    </nc>
  </rcc>
  <rm rId="2899" sheetId="12" source="H22" destination="E22" sourceSheetId="12"/>
  <rcc rId="2900" sId="12">
    <nc r="G22">
      <v>-12000</v>
    </nc>
  </rcc>
  <rcc rId="2901" sId="12">
    <nc r="E22">
      <v>-28000</v>
    </nc>
  </rcc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04" sId="12" odxf="1">
    <nc r="H22">
      <f>E22+G22</f>
    </nc>
    <odxf/>
  </rcc>
  <rfmt sheetId="12" sqref="E24:L24">
    <dxf>
      <numFmt numFmtId="164" formatCode="_ * #,##0.00_ ;_ * \-#,##0.00_ ;_ * &quot;-&quot;??_ ;_ @_ "/>
    </dxf>
  </rfmt>
  <rfmt sheetId="12" sqref="E24:L24">
    <dxf>
      <numFmt numFmtId="183" formatCode="_ * #,##0.0_ ;_ * \-#,##0.0_ ;_ * &quot;-&quot;??_ ;_ @_ "/>
    </dxf>
  </rfmt>
  <rfmt sheetId="12" sqref="E24:L24">
    <dxf>
      <numFmt numFmtId="176" formatCode="_ * #,##0_ ;_ * \-#,##0_ ;_ * &quot;-&quot;??_ ;_ @_ "/>
    </dxf>
  </rfmt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2907" sheetId="17" name="[2020 Budsjett til RSM.xlsx]Landsmøtet" sheetPosition="10"/>
  <rcc rId="2908" sId="17" odxf="1">
    <nc r="A4" t="inlineStr">
      <is>
        <t>Type rom</t>
      </is>
    </nc>
    <odxf/>
  </rcc>
  <rcc rId="2909" sId="17" odxf="1">
    <nc r="B4" t="inlineStr">
      <is>
        <t>Pris per rom 2016</t>
      </is>
    </nc>
    <odxf/>
  </rcc>
  <rcc rId="2910" sId="17" odxf="1">
    <nc r="C4" t="inlineStr">
      <is>
        <t>Pris per rom 2017</t>
      </is>
    </nc>
    <odxf/>
  </rcc>
  <rcc rId="2911" sId="17" odxf="1">
    <nc r="D4" t="inlineStr">
      <is>
        <t>Pris per rom 2018</t>
      </is>
    </nc>
    <odxf/>
  </rcc>
  <rcc rId="2912" sId="17" odxf="1">
    <nc r="E4" t="inlineStr">
      <is>
        <t>Pris per rom 2019</t>
      </is>
    </nc>
    <odxf/>
  </rcc>
  <rcc rId="2913" sId="17" odxf="1">
    <nc r="F4" t="inlineStr">
      <is>
        <t>Pris per rom 2020</t>
      </is>
    </nc>
    <odxf/>
  </rcc>
  <rcc rId="2914" sId="17" odxf="1">
    <nc r="G4" t="inlineStr">
      <is>
        <t>Antall dager</t>
      </is>
    </nc>
    <odxf/>
  </rcc>
  <rcc rId="2915" sId="17" odxf="1">
    <nc r="A5" t="inlineStr">
      <is>
        <t>Enkeltrom</t>
      </is>
    </nc>
    <odxf/>
  </rcc>
  <rcc rId="2916" sId="17" odxf="1">
    <nc r="B5">
      <v>1515</v>
    </nc>
    <odxf/>
  </rcc>
  <rcc rId="2917" sId="17" odxf="1">
    <nc r="C5">
      <v>1445</v>
    </nc>
    <odxf/>
  </rcc>
  <rcc rId="2918" sId="17" odxf="1">
    <nc r="D5">
      <v>1445</v>
    </nc>
    <odxf/>
  </rcc>
  <rcc rId="2919" sId="17" odxf="1">
    <nc r="E5">
      <v>1445</v>
    </nc>
    <odxf/>
  </rcc>
  <rcc rId="2920" sId="17" odxf="1">
    <nc r="A6" t="inlineStr">
      <is>
        <t>Dobbeltrom</t>
      </is>
    </nc>
    <odxf/>
  </rcc>
  <rcc rId="2921" sId="17" odxf="1">
    <nc r="B6">
      <v>1315</v>
    </nc>
    <odxf/>
  </rcc>
  <rcc rId="2922" sId="17" odxf="1">
    <nc r="C6">
      <v>1245</v>
    </nc>
    <odxf/>
  </rcc>
  <rcc rId="2923" sId="17" odxf="1">
    <nc r="D6">
      <v>1245</v>
    </nc>
    <odxf/>
  </rcc>
  <rcc rId="2924" sId="17" odxf="1">
    <nc r="E6">
      <v>1245</v>
    </nc>
    <odxf/>
  </rcc>
  <rcc rId="2925" sId="17" odxf="1">
    <nc r="A7" t="inlineStr">
      <is>
        <t>Tremannsrom</t>
      </is>
    </nc>
    <odxf/>
  </rcc>
  <rcc rId="2926" sId="17" odxf="1">
    <nc r="C7">
      <v>1145</v>
    </nc>
    <odxf/>
  </rcc>
  <rcc rId="2927" sId="17" odxf="1">
    <nc r="D7">
      <v>1145</v>
    </nc>
    <odxf/>
  </rcc>
  <rcc rId="2928" sId="17" odxf="1">
    <nc r="E7">
      <v>1145</v>
    </nc>
    <odxf/>
  </rcc>
  <rcc rId="2929" sId="17" odxf="1">
    <nc r="A8" t="inlineStr">
      <is>
        <t>Firemannsrom</t>
      </is>
    </nc>
    <odxf/>
  </rcc>
  <rcc rId="2930" sId="17" odxf="1">
    <nc r="B8">
      <v>1015</v>
    </nc>
    <odxf/>
  </rcc>
  <rcc rId="2931" sId="17" odxf="1">
    <nc r="C8">
      <v>1045</v>
    </nc>
    <odxf/>
  </rcc>
  <rcc rId="2932" sId="17" odxf="1">
    <nc r="D8">
      <v>1045</v>
    </nc>
    <odxf/>
  </rcc>
  <rcc rId="2933" sId="17" odxf="1">
    <nc r="E8">
      <v>1045</v>
    </nc>
    <odxf/>
  </rcc>
  <rcc rId="2934" sId="17" odxf="1">
    <nc r="A9" t="inlineStr">
      <is>
        <t>Dagpakke</t>
      </is>
    </nc>
    <odxf/>
  </rcc>
  <rcc rId="2935" sId="17" odxf="1">
    <nc r="B9">
      <v>585</v>
    </nc>
    <odxf/>
  </rcc>
  <rcc rId="2936" sId="17" odxf="1">
    <nc r="C9">
      <v>595</v>
    </nc>
    <odxf/>
  </rcc>
  <rcc rId="2937" sId="17" odxf="1">
    <nc r="D9">
      <v>595</v>
    </nc>
    <odxf/>
  </rcc>
  <rcc rId="2938" sId="17" odxf="1">
    <nc r="E9">
      <v>595</v>
    </nc>
    <odxf/>
  </rcc>
  <rcc rId="2939" sId="17" odxf="1">
    <nc r="A10" t="inlineStr">
      <is>
        <t>Møterom stort per dag</t>
      </is>
    </nc>
    <odxf/>
  </rcc>
  <rcc rId="2940" sId="17" odxf="1" dxf="1">
    <nc r="H10">
      <f>F10*G10</f>
    </nc>
    <odxf>
      <numFmt numFmtId="0" formatCode="General"/>
    </odxf>
    <ndxf>
      <numFmt numFmtId="176" formatCode="_ * #,##0_ ;_ * \-#,##0_ ;_ * &quot;-&quot;??_ ;_ @_ "/>
    </ndxf>
  </rcc>
  <rcc rId="2941" sId="17" odxf="1">
    <nc r="A11" t="inlineStr">
      <is>
        <t>Mellomstort per dag</t>
      </is>
    </nc>
    <odxf/>
  </rcc>
  <rcc rId="2942" sId="17" odxf="1">
    <nc r="F11">
      <v>3000</v>
    </nc>
    <odxf/>
  </rcc>
  <rcc rId="2943" sId="17" odxf="1">
    <nc r="G11">
      <v>6</v>
    </nc>
    <odxf/>
  </rcc>
  <rcc rId="2944" sId="17" odxf="1" dxf="1">
    <nc r="H11">
      <f>F11*G11</f>
    </nc>
    <odxf>
      <numFmt numFmtId="0" formatCode="General"/>
    </odxf>
    <ndxf>
      <numFmt numFmtId="176" formatCode="_ * #,##0_ ;_ * \-#,##0_ ;_ * &quot;-&quot;??_ ;_ @_ "/>
    </ndxf>
  </rcc>
  <rcc rId="2945" sId="17" odxf="1">
    <nc r="A12" t="inlineStr">
      <is>
        <t>Lite møterom per dag</t>
      </is>
    </nc>
    <odxf/>
  </rcc>
  <rcc rId="2946" sId="17" odxf="1">
    <nc r="G12">
      <v>3</v>
    </nc>
    <odxf/>
  </rcc>
  <rcc rId="2947" sId="17" odxf="1" dxf="1">
    <nc r="H12">
      <f>F12*G12</f>
    </nc>
    <odxf>
      <numFmt numFmtId="0" formatCode="General"/>
    </odxf>
    <ndxf>
      <numFmt numFmtId="176" formatCode="_ * #,##0_ ;_ * \-#,##0_ ;_ * &quot;-&quot;??_ ;_ @_ "/>
    </ndxf>
  </rcc>
  <rrc rId="2948" sId="17" ref="B1:B1048576" action="deleteCol">
    <rfmt sheetId="17" xfDxf="1" sqref="B1:B1048576" start="0" length="0"/>
    <rcc rId="0" sId="17">
      <nc r="B4" t="inlineStr">
        <is>
          <t>Pris per rom 2016</t>
        </is>
      </nc>
    </rcc>
    <rcc rId="0" sId="17">
      <nc r="B5">
        <v>1515</v>
      </nc>
    </rcc>
    <rcc rId="0" sId="17">
      <nc r="B6">
        <v>1315</v>
      </nc>
    </rcc>
    <rcc rId="0" sId="17">
      <nc r="B8">
        <v>1015</v>
      </nc>
    </rcc>
    <rcc rId="0" sId="17">
      <nc r="B9">
        <v>585</v>
      </nc>
    </rcc>
  </rrc>
  <rrc rId="2949" sId="17" ref="B1:B1048576" action="deleteCol">
    <rfmt sheetId="17" xfDxf="1" sqref="B1:B1048576" start="0" length="0"/>
    <rcc rId="0" sId="17">
      <nc r="B4" t="inlineStr">
        <is>
          <t>Pris per rom 2017</t>
        </is>
      </nc>
    </rcc>
    <rcc rId="0" sId="17">
      <nc r="B5">
        <v>1445</v>
      </nc>
    </rcc>
    <rcc rId="0" sId="17">
      <nc r="B6">
        <v>1245</v>
      </nc>
    </rcc>
    <rcc rId="0" sId="17">
      <nc r="B7">
        <v>1145</v>
      </nc>
    </rcc>
    <rcc rId="0" sId="17">
      <nc r="B8">
        <v>1045</v>
      </nc>
    </rcc>
    <rcc rId="0" sId="17">
      <nc r="B9">
        <v>595</v>
      </nc>
    </rcc>
  </rrc>
  <rrc rId="2950" sId="17" ref="B1:B1048576" action="deleteCol">
    <rfmt sheetId="17" xfDxf="1" sqref="B1:B1048576" start="0" length="0"/>
    <rcc rId="0" sId="17">
      <nc r="B4" t="inlineStr">
        <is>
          <t>Pris per rom 2018</t>
        </is>
      </nc>
    </rcc>
    <rcc rId="0" sId="17">
      <nc r="B5">
        <v>1445</v>
      </nc>
    </rcc>
    <rcc rId="0" sId="17">
      <nc r="B6">
        <v>1245</v>
      </nc>
    </rcc>
    <rcc rId="0" sId="17">
      <nc r="B7">
        <v>1145</v>
      </nc>
    </rcc>
    <rcc rId="0" sId="17">
      <nc r="B8">
        <v>1045</v>
      </nc>
    </rcc>
    <rcc rId="0" sId="17">
      <nc r="B9">
        <v>595</v>
      </nc>
    </rcc>
  </rrc>
  <rrc rId="2951" sId="17" ref="B1:B1048576" action="deleteCol">
    <rfmt sheetId="17" xfDxf="1" sqref="B1:B1048576" start="0" length="0"/>
    <rcc rId="0" sId="17">
      <nc r="B4" t="inlineStr">
        <is>
          <t>Pris per rom 2019</t>
        </is>
      </nc>
    </rcc>
    <rcc rId="0" sId="17">
      <nc r="B5">
        <v>1445</v>
      </nc>
    </rcc>
    <rcc rId="0" sId="17">
      <nc r="B6">
        <v>1245</v>
      </nc>
    </rcc>
    <rcc rId="0" sId="17">
      <nc r="B7">
        <v>1145</v>
      </nc>
    </rcc>
    <rcc rId="0" sId="17">
      <nc r="B8">
        <v>1045</v>
      </nc>
    </rcc>
    <rcc rId="0" sId="17">
      <nc r="B9">
        <v>595</v>
      </nc>
    </rcc>
  </rrc>
  <rrc rId="2952" sId="17" ref="A10:XFD10" action="insertRow"/>
  <rcc rId="2953" sId="17" odxf="1" dxf="1">
    <nc r="A10" t="inlineStr">
      <is>
        <t>Plenumsal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</rfmt>
  <rcc rId="2954" sId="17" odxf="1" dxf="1">
    <nc r="B10" t="inlineStr">
      <is>
        <t>Inkludert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955" sId="17">
    <nc r="B5">
      <v>1490</v>
    </nc>
  </rcc>
  <rcc rId="2956" sId="17">
    <nc r="B6">
      <v>1290</v>
    </nc>
  </rcc>
  <rcc rId="2957" sId="17">
    <nc r="B7">
      <v>1190</v>
    </nc>
  </rcc>
  <rcc rId="2958" sId="17" odxf="1" dxf="1">
    <nc r="B8" t="inlineStr">
      <is>
        <t>-</t>
      </is>
    </nc>
    <ndxf>
      <font>
        <sz val="10"/>
        <color rgb="FF000000"/>
        <name val="Arial"/>
        <family val="2"/>
        <scheme val="none"/>
      </font>
    </ndxf>
  </rcc>
  <rrc rId="2959" sId="17" ref="A8:XFD8" action="deleteRow">
    <rfmt sheetId="17" xfDxf="1" sqref="A8:XFD8" start="0" length="0"/>
    <rcc rId="0" sId="17">
      <nc r="A8" t="inlineStr">
        <is>
          <t>Firemannsrom</t>
        </is>
      </nc>
    </rcc>
    <rcc rId="0" sId="17" dxf="1">
      <nc r="B8" t="inlineStr">
        <is>
          <t>-</t>
        </is>
      </nc>
      <ndxf>
        <font>
          <sz val="10"/>
          <color rgb="FF000000"/>
          <name val="Arial"/>
          <family val="2"/>
          <scheme val="none"/>
        </font>
      </ndxf>
    </rcc>
  </rrc>
  <rcc rId="2960" sId="17">
    <nc r="B8">
      <v>595</v>
    </nc>
  </rcc>
  <rrc rId="2961" sId="17" ref="A11:XFD11" action="deleteRow">
    <rfmt sheetId="17" xfDxf="1" sqref="A11:XFD11" start="0" length="0"/>
    <rcc rId="0" sId="17">
      <nc r="A11" t="inlineStr">
        <is>
          <t>Mellomstort per dag</t>
        </is>
      </nc>
    </rcc>
    <rcc rId="0" sId="17">
      <nc r="B11">
        <v>3000</v>
      </nc>
    </rcc>
    <rcc rId="0" sId="17">
      <nc r="C11">
        <v>6</v>
      </nc>
    </rcc>
    <rcc rId="0" sId="17" dxf="1">
      <nc r="D11">
        <f>B11*C11</f>
      </nc>
      <ndxf>
        <numFmt numFmtId="176" formatCode="_ * #,##0_ ;_ * \-#,##0_ ;_ * &quot;-&quot;??_ ;_ @_ "/>
      </ndxf>
    </rcc>
  </rrc>
  <rcc rId="2962" sId="17">
    <nc r="B11">
      <v>2000</v>
    </nc>
  </rcc>
  <rcc rId="2963" sId="17">
    <nc r="B10">
      <v>6000</v>
    </nc>
  </rcc>
  <rcc rId="2964" sId="17">
    <nc r="C10">
      <v>1</v>
    </nc>
  </rcc>
  <rrc rId="2965" sId="17" eol="1" ref="A13:XFD13" action="insertRow"/>
  <rcc rId="2966" sId="17" odxf="1" dxf="1">
    <nc r="A13" t="inlineStr">
      <is>
        <t>Antall deltakere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rc rId="2967" sId="17" eol="1" ref="A14:XFD14" action="insertRow"/>
  <rcc rId="2968" sId="17" odxf="1" dxf="1">
    <nc r="A14" t="inlineStr">
      <is>
        <t>Antall dekket av CISV Norge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</dxf>
  </rfmt>
  <rrc rId="2969" sId="17" eol="1" ref="A15:XFD15" action="insertRow"/>
  <rcc rId="2970" sId="17" odxf="1" dxf="1">
    <nc r="A15" t="inlineStr">
      <is>
        <t>Antall dekket av lagene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</dxf>
  </rfmt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973" sId="17" eol="1" ref="A16:XFD16" action="insertRow"/>
  <rcc rId="2974" sId="17" odxf="1" dxf="1">
    <nc r="A16" t="inlineStr">
      <is>
        <t>No show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</dxf>
  </rfmt>
  <rcc rId="2975" sId="17">
    <nc r="B13">
      <v>60</v>
    </nc>
  </rcc>
  <rcc rId="2976" sId="17">
    <nc r="B16">
      <v>4</v>
    </nc>
  </rcc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77" sId="17">
    <nc r="B14">
      <v>19</v>
    </nc>
  </rcc>
  <rfmt sheetId="17" sqref="B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2978" sId="17">
    <nc r="B15">
      <v>41</v>
    </nc>
  </rcc>
  <rfmt sheetId="17" sqref="B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m rId="2979" sheetId="17" source="A13:B16" destination="I3:J6" sourceSheetId="17"/>
  <rcc rId="2980" sId="17">
    <nc r="H2">
      <v>2019</v>
    </nc>
  </rcc>
  <rcc rId="2981" sId="17" odxf="1" dxf="1">
    <nc r="L3" t="inlineStr">
      <is>
        <t>Antall deltakere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2982" sId="17" odxf="1" dxf="1">
    <nc r="L4" t="inlineStr">
      <is>
        <t>Antall dekket av CISV Norge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L5" start="0" length="0">
    <dxf>
      <font>
        <sz val="10"/>
        <color rgb="FF000000"/>
        <name val="Arial"/>
        <family val="2"/>
        <scheme val="none"/>
      </font>
    </dxf>
  </rfmt>
  <rfmt sheetId="17" sqref="L6" start="0" length="0">
    <dxf>
      <font>
        <sz val="10"/>
        <color rgb="FF000000"/>
        <name val="Arial"/>
        <family val="2"/>
        <scheme val="none"/>
      </font>
    </dxf>
  </rfmt>
  <rcc rId="2983" sId="17">
    <nc r="K2">
      <v>2020</v>
    </nc>
  </rcc>
  <rm rId="2984" sheetId="17" source="L5:L8" destination="L9:L12" sourceSheetId="17"/>
  <rfmt sheetId="17" sqref="L5" start="0" length="0">
    <dxf>
      <font>
        <sz val="10"/>
        <color rgb="FF000000"/>
        <name val="Arial"/>
        <family val="2"/>
        <scheme val="none"/>
      </font>
    </dxf>
  </rfmt>
  <rm rId="2985" sheetId="17" source="L8:L11" destination="L14:L17" sourceSheetId="17"/>
  <rcc rId="2986" sId="17" odxf="1" dxf="1">
    <nc r="L12" t="inlineStr">
      <is>
        <t>Ny komiteplan</t>
      </is>
    </nc>
    <odxf>
      <font>
        <b val="0"/>
        <sz val="10"/>
        <color rgb="FF000000"/>
        <name val="Arial"/>
        <scheme val="none"/>
      </font>
      <border outline="0">
        <left/>
        <right/>
        <top/>
        <bottom/>
      </border>
    </odxf>
    <ndxf>
      <font>
        <b/>
        <sz val="10"/>
        <color rgb="FF000000"/>
        <name val="Arial"/>
        <family val="2"/>
        <scheme val="none"/>
      </font>
      <border outline="0">
        <left style="thin">
          <color indexed="64"/>
        </left>
        <right style="thin">
          <color indexed="64"/>
        </right>
        <top style="medium">
          <color indexed="64"/>
        </top>
        <bottom style="thin">
          <color indexed="64"/>
        </bottom>
      </border>
    </ndxf>
  </rcc>
  <rcc rId="2987" sId="17" odxf="1" dxf="1">
    <nc r="M12" t="inlineStr">
      <is>
        <t>Antall</t>
      </is>
    </nc>
    <odxf>
      <font>
        <b val="0"/>
        <sz val="10"/>
        <color rgb="FF000000"/>
        <name val="Arial"/>
        <scheme val="none"/>
      </font>
      <border outline="0">
        <left/>
        <right/>
        <top/>
        <bottom/>
      </border>
    </odxf>
    <ndxf>
      <font>
        <b/>
        <sz val="10"/>
        <color rgb="FF000000"/>
        <name val="Arial"/>
        <family val="2"/>
        <scheme val="none"/>
      </font>
      <border outline="0">
        <left style="thin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ndxf>
  </rcc>
  <rcc rId="2988" sId="17" odxf="1" dxf="1">
    <nc r="L13" t="inlineStr">
      <is>
        <t>Program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3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89" sId="17" odxf="1" dxf="1">
    <nc r="L14" t="inlineStr">
      <is>
        <t>Utdanning, kvalitet og trening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4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90" sId="17" odxf="1" dxf="1">
    <nc r="L15" t="inlineStr">
      <is>
        <t>Ressurs</t>
      </is>
    </nc>
    <ndxf>
      <font>
        <sz val="10"/>
        <color rgb="FF000000"/>
        <name val="Arial"/>
        <family val="2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5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91" sId="17" odxf="1" dxf="1">
    <nc r="L16" t="inlineStr">
      <is>
        <t>Kommunikasjon</t>
      </is>
    </nc>
    <ndxf>
      <font>
        <sz val="10"/>
        <color rgb="FF000000"/>
        <name val="Arial"/>
        <family val="2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6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92" sId="17" odxf="1" dxf="1">
    <nc r="L17" t="inlineStr">
      <is>
        <t xml:space="preserve">Utvikling 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7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93" sId="17" odxf="1" dxf="1">
    <nc r="L18" t="inlineStr">
      <is>
        <t>Junior</t>
      </is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8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cc rId="2994" sId="17" odxf="1" dxf="1">
    <nc r="L19" t="inlineStr">
      <is>
        <t>Risk Management*</t>
      </is>
    </nc>
    <odxf>
      <font>
        <sz val="10"/>
        <color rgb="FF000000"/>
        <name val="Arial"/>
        <scheme val="none"/>
      </font>
      <border outline="0">
        <left/>
        <right/>
        <top/>
        <bottom/>
      </border>
    </odxf>
    <ndxf>
      <font>
        <sz val="10"/>
        <color rgb="FF000000"/>
        <name val="Arial"/>
        <family val="2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7" sqref="M19" start="0" length="0"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</rfmt>
  <rfmt sheetId="17" sqref="M13" start="0" length="0">
    <dxf>
      <font>
        <sz val="10"/>
        <color rgb="FF000000"/>
        <name val="Arial"/>
        <family val="2"/>
        <scheme val="none"/>
      </font>
    </dxf>
  </rfmt>
  <rcc rId="2995" sId="17">
    <nc r="M13">
      <f>1+5</f>
    </nc>
  </rcc>
  <rcc rId="2996" sId="17">
    <nc r="M14">
      <v>1</v>
    </nc>
  </rcc>
  <rcc rId="2997" sId="17">
    <nc r="M15">
      <v>1</v>
    </nc>
  </rcc>
  <rcc rId="2998" sId="17">
    <nc r="M16">
      <v>1</v>
    </nc>
  </rcc>
  <rcc rId="2999" sId="17">
    <nc r="M17">
      <v>1</v>
    </nc>
  </rcc>
  <rcc rId="3000" sId="17">
    <nc r="M18">
      <v>2</v>
    </nc>
  </rcc>
  <rcc rId="3001" sId="17">
    <nc r="M19">
      <v>1</v>
    </nc>
  </rcc>
  <rrc rId="3002" sId="17" eol="1" ref="A20:XFD20" action="insertRow"/>
  <rcc rId="3003" sId="17" odxf="1" dxf="1">
    <nc r="L20" t="inlineStr">
      <is>
        <t>SUM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L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m rId="3004" sheetId="17" source="L20:M20" destination="L22:M22" sourceSheetId="17"/>
  <rcc rId="3005" sId="17" odxf="1" dxf="1">
    <nc r="L20" t="inlineStr">
      <is>
        <t>STS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L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3006" sId="17">
    <nc r="M20">
      <v>5</v>
    </nc>
  </rcc>
  <rfmt sheetId="17" sqref="M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</dxf>
  </rfmt>
  <rcc rId="3007" sId="17" odxf="1" dxf="1">
    <nc r="L21" t="inlineStr">
      <is>
        <t>Kontoret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L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cc rId="3008" sId="17">
    <nc r="M21">
      <v>2</v>
    </nc>
  </rcc>
  <rfmt sheetId="17" sqref="M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/>
      </border>
    </dxf>
  </rfmt>
  <rcc rId="3009" sId="17" endOfListFormulaUpdate="1">
    <nc r="M22">
      <f>SUM(M13:M21)</f>
    </nc>
  </rcc>
  <rfmt sheetId="17" sqref="L12:M12" start="0" length="0">
    <dxf>
      <border>
        <top style="thin">
          <color indexed="64"/>
        </top>
      </border>
    </dxf>
  </rfmt>
  <rfmt sheetId="17" sqref="M12:M22" start="0" length="0">
    <dxf>
      <border>
        <right style="thin">
          <color indexed="64"/>
        </right>
      </border>
    </dxf>
  </rfmt>
  <rfmt sheetId="17" sqref="L22:M22" start="0" length="0">
    <dxf>
      <border>
        <bottom style="thin">
          <color indexed="64"/>
        </bottom>
      </border>
    </dxf>
  </rfmt>
  <rcc rId="3010" sId="17">
    <nc r="M3">
      <v>60</v>
    </nc>
  </rcc>
  <rcc rId="3011" sId="17">
    <nc r="M4">
      <f>M22</f>
    </nc>
  </rcc>
  <rcc rId="3012" sId="17" odxf="1" dxf="1">
    <nc r="A15" t="inlineStr">
      <is>
        <t>Dekket deltaker sentralt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3" sId="17" odxf="1" dxf="1">
    <nc r="B15" t="inlineStr">
      <is>
        <t>Antall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4" sId="17" odxf="1" dxf="1">
    <nc r="C15" t="inlineStr">
      <is>
        <t>Kost og losji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fmt sheetId="17" sqref="D15" start="0" length="0">
    <dxf>
      <font>
        <b/>
        <sz val="10"/>
        <color rgb="FF000000"/>
        <name val="Arial"/>
        <family val="2"/>
        <scheme val="none"/>
      </font>
    </dxf>
  </rfmt>
  <rcc rId="3015" sId="17" odxf="1" dxf="1">
    <nc r="E15" t="inlineStr">
      <is>
        <t>SUM hotell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6" sId="17" odxf="1" dxf="1">
    <nc r="F15" t="inlineStr">
      <is>
        <t>Reise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7" sId="17" odxf="1" dxf="1">
    <nc r="G15" t="inlineStr">
      <is>
        <t>SUM reise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8" sId="17" odxf="1" dxf="1">
    <nc r="H15" t="inlineStr">
      <is>
        <t>SUM total</t>
      </is>
    </nc>
    <odxf>
      <font>
        <b val="0"/>
        <sz val="10"/>
        <color rgb="FF000000"/>
        <name val="Arial"/>
        <scheme val="none"/>
      </font>
    </odxf>
    <ndxf>
      <font>
        <b/>
        <sz val="10"/>
        <color rgb="FF000000"/>
        <name val="Arial"/>
        <family val="2"/>
        <scheme val="none"/>
      </font>
    </ndxf>
  </rcc>
  <rcc rId="3019" sId="17" odxf="1">
    <nc r="A16" t="inlineStr">
      <is>
        <t>Fredag</t>
      </is>
    </nc>
    <odxf/>
  </rcc>
  <rcc rId="3020" sId="17">
    <nc r="G16">
      <f>B16*F16</f>
    </nc>
  </rcc>
  <rcc rId="3021" sId="17" odxf="1">
    <nc r="H16">
      <f>E16+G16</f>
    </nc>
    <odxf/>
  </rcc>
  <rcc rId="3022" sId="17" odxf="1">
    <nc r="A17" t="inlineStr">
      <is>
        <t>Lørdag</t>
      </is>
    </nc>
    <odxf/>
  </rcc>
  <rcc rId="3023" sId="17" odxf="1">
    <nc r="G17">
      <f>B17*F17</f>
    </nc>
    <odxf/>
  </rcc>
  <rcc rId="3024" sId="17" odxf="1">
    <nc r="H17">
      <f>E17+G17</f>
    </nc>
    <odxf/>
  </rcc>
  <rcc rId="3025" sId="17">
    <nc r="B16">
      <v>12</v>
    </nc>
  </rcc>
  <rcc rId="3026" sId="17">
    <nc r="B17">
      <v>8</v>
    </nc>
  </rcc>
  <rcc rId="3027" sId="17">
    <nc r="C16">
      <f>$B$6*2</f>
    </nc>
  </rcc>
  <rcc rId="3028" sId="17" odxf="1" dxf="1">
    <nc r="A12" t="inlineStr">
      <is>
        <t>SUM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</rfmt>
  <rcc rId="3029" sId="17" odxf="1" dxf="1">
    <nc r="D12">
      <f>SUM(D10:D11)</f>
    </nc>
    <odxf>
      <numFmt numFmtId="0" formatCode="General"/>
    </odxf>
    <ndxf>
      <numFmt numFmtId="176" formatCode="_ * #,##0_ ;_ * \-#,##0_ ;_ * &quot;-&quot;??_ ;_ @_ "/>
    </ndxf>
  </rcc>
  <rrc rId="3030" sId="17" ref="E1:E1048576" action="insertCol"/>
  <rm rId="3031" sheetId="17" source="F15:I17" destination="D15:G17" sourceSheetId="17">
    <undo index="65535" exp="ref" v="1" dr="D16" r="F16" sId="17"/>
    <undo index="65535" exp="ref" v="1" dr="D17" r="F17" sId="17"/>
    <rfmt sheetId="17" sqref="D15" start="0" length="0">
      <dxf>
        <font>
          <b/>
          <sz val="10"/>
          <color rgb="FF000000"/>
          <name val="Arial"/>
          <family val="2"/>
          <scheme val="none"/>
        </font>
      </dxf>
    </rfmt>
    <rfmt sheetId="17" sqref="E15" start="0" length="0">
      <dxf>
        <font>
          <b/>
          <sz val="10"/>
          <color rgb="FF000000"/>
          <name val="Arial"/>
          <family val="2"/>
          <scheme val="none"/>
        </font>
      </dxf>
    </rfmt>
  </rm>
  <rcc rId="3032" sId="17">
    <nc r="D16">
      <f>B16*C16</f>
    </nc>
  </rcc>
  <rcc rId="3033" sId="17">
    <nc r="D17">
      <f>B17*C17</f>
    </nc>
  </rcc>
  <rcc rId="3034" sId="17" odxf="1" dxf="1">
    <nc r="A18" t="inlineStr">
      <is>
        <t>Møterom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</dxf>
  </rfmt>
  <rcc rId="3035" sId="17" odxf="1" dxf="1">
    <nc r="A20" t="inlineStr">
      <is>
        <t>SUM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3036" sId="17" odxf="1" dxf="1">
    <nc r="G18">
      <f>D12</f>
    </nc>
    <odxf>
      <numFmt numFmtId="0" formatCode="General"/>
    </odxf>
    <ndxf>
      <numFmt numFmtId="176" formatCode="_ * #,##0_ ;_ * \-#,##0_ ;_ * &quot;-&quot;??_ ;_ @_ "/>
    </ndxf>
  </rcc>
  <rcc rId="3037" sId="17">
    <nc r="G20">
      <f>SUM(G16:G19)</f>
    </nc>
  </rcc>
  <rfmt sheetId="17" sqref="G16:G20">
    <dxf>
      <numFmt numFmtId="164" formatCode="_ * #,##0.00_ ;_ * \-#,##0.00_ ;_ * &quot;-&quot;??_ ;_ @_ "/>
    </dxf>
  </rfmt>
  <rfmt sheetId="17" sqref="G16:G20">
    <dxf>
      <numFmt numFmtId="183" formatCode="_ * #,##0.0_ ;_ * \-#,##0.0_ ;_ * &quot;-&quot;??_ ;_ @_ "/>
    </dxf>
  </rfmt>
  <rfmt sheetId="17" sqref="G16:G20">
    <dxf>
      <numFmt numFmtId="176" formatCode="_ * #,##0_ ;_ * \-#,##0_ ;_ * &quot;-&quot;??_ ;_ @_ "/>
    </dxf>
  </rfmt>
  <rfmt sheetId="17" sqref="G20">
    <dxf>
      <fill>
        <patternFill patternType="solid">
          <bgColor rgb="FFFFFF00"/>
        </patternFill>
      </fill>
    </dxf>
  </rfmt>
  <rfmt sheetId="17" sqref="A22" start="0" length="0">
    <dxf>
      <font>
        <b/>
        <sz val="10"/>
        <color rgb="FF000000"/>
        <name val="Arial"/>
        <family val="2"/>
        <scheme val="none"/>
      </font>
    </dxf>
  </rfmt>
  <rfmt sheetId="17" sqref="B22" start="0" length="0">
    <dxf>
      <font>
        <b/>
        <sz val="10"/>
        <color rgb="FF000000"/>
        <name val="Arial"/>
        <family val="2"/>
        <scheme val="none"/>
      </font>
    </dxf>
  </rfmt>
  <rfmt sheetId="17" sqref="C22" start="0" length="0">
    <dxf>
      <font>
        <b/>
        <sz val="10"/>
        <color rgb="FF000000"/>
        <name val="Arial"/>
        <family val="2"/>
        <scheme val="none"/>
      </font>
    </dxf>
  </rfmt>
  <rfmt sheetId="17" sqref="D22" start="0" length="0">
    <dxf>
      <font>
        <b/>
        <sz val="10"/>
        <color rgb="FF000000"/>
        <name val="Arial"/>
        <family val="2"/>
        <scheme val="none"/>
      </font>
    </dxf>
  </rfmt>
  <rfmt sheetId="17" sqref="E22" start="0" length="0">
    <dxf>
      <font>
        <b/>
        <sz val="10"/>
        <color rgb="FF000000"/>
        <name val="Arial"/>
        <family val="2"/>
        <scheme val="none"/>
      </font>
    </dxf>
  </rfmt>
  <rfmt sheetId="17" sqref="F22" start="0" length="0">
    <dxf>
      <font>
        <b/>
        <sz val="10"/>
        <color rgb="FF000000"/>
        <name val="Arial"/>
        <family val="2"/>
        <scheme val="none"/>
      </font>
    </dxf>
  </rfmt>
  <rfmt sheetId="17" sqref="G22" start="0" length="0">
    <dxf>
      <font>
        <b/>
        <sz val="10"/>
        <color rgb="FF000000"/>
        <name val="Arial"/>
        <family val="2"/>
        <scheme val="none"/>
      </font>
    </dxf>
  </rfmt>
  <rfmt sheetId="17" sqref="G23" start="0" length="0">
    <dxf>
      <numFmt numFmtId="176" formatCode="_ * #,##0_ ;_ * \-#,##0_ ;_ * &quot;-&quot;??_ ;_ @_ "/>
    </dxf>
  </rfmt>
  <rfmt sheetId="17" sqref="G24" start="0" length="0">
    <dxf>
      <numFmt numFmtId="176" formatCode="_ * #,##0_ ;_ * \-#,##0_ ;_ * &quot;-&quot;??_ ;_ @_ "/>
    </dxf>
  </rfmt>
  <rfmt sheetId="17" sqref="G25" start="0" length="0">
    <dxf>
      <numFmt numFmtId="176" formatCode="_ * #,##0_ ;_ * \-#,##0_ ;_ * &quot;-&quot;??_ ;_ @_ "/>
    </dxf>
  </rfmt>
  <rcc rId="3038" sId="17">
    <nc r="C17">
      <f>$B$6+$B$8</f>
    </nc>
  </rcc>
  <rcc rId="3039" sId="17">
    <nc r="B22" t="inlineStr">
      <is>
        <t>Antall</t>
      </is>
    </nc>
  </rcc>
  <rcc rId="3040" sId="17">
    <nc r="C22" t="inlineStr">
      <is>
        <t>Kost og losji</t>
      </is>
    </nc>
  </rcc>
  <rcc rId="3041" sId="17">
    <nc r="D22" t="inlineStr">
      <is>
        <t>SUM hotell</t>
      </is>
    </nc>
  </rcc>
  <rcc rId="3042" sId="17">
    <nc r="E22" t="inlineStr">
      <is>
        <t>Reise</t>
      </is>
    </nc>
  </rcc>
  <rcc rId="3043" sId="17">
    <nc r="F22" t="inlineStr">
      <is>
        <t>SUM reise</t>
      </is>
    </nc>
  </rcc>
  <rcc rId="3044" sId="17">
    <nc r="G22" t="inlineStr">
      <is>
        <t>SUM total</t>
      </is>
    </nc>
  </rcc>
  <rcc rId="3045" sId="17">
    <nc r="A23" t="inlineStr">
      <is>
        <t>Fredag</t>
      </is>
    </nc>
  </rcc>
  <rcc rId="3046" sId="17">
    <nc r="B23">
      <v>12</v>
    </nc>
  </rcc>
  <rcc rId="3047" sId="17">
    <nc r="C23">
      <f>$B$6*2</f>
    </nc>
  </rcc>
  <rcc rId="3048" sId="17">
    <nc r="D23">
      <f>B23*C23</f>
    </nc>
  </rcc>
  <rcc rId="3049" sId="17">
    <nc r="F23">
      <f>B23*E23</f>
    </nc>
  </rcc>
  <rcc rId="3050" sId="17">
    <nc r="G23">
      <f>D23+F23</f>
    </nc>
  </rcc>
  <rcc rId="3051" sId="17">
    <nc r="A24" t="inlineStr">
      <is>
        <t>Lørdag</t>
      </is>
    </nc>
  </rcc>
  <rcc rId="3052" sId="17">
    <nc r="C24">
      <f>$B$6+$B$8</f>
    </nc>
  </rcc>
  <rcc rId="3053" sId="17">
    <nc r="D24">
      <f>B24*C24</f>
    </nc>
  </rcc>
  <rcc rId="3054" sId="17">
    <nc r="F24">
      <f>B24*E24</f>
    </nc>
  </rcc>
  <rcc rId="3055" sId="17">
    <nc r="G24">
      <f>D24+F24</f>
    </nc>
  </rcc>
  <rcc rId="3056" sId="17">
    <nc r="A25" t="inlineStr">
      <is>
        <t>Møterom</t>
      </is>
    </nc>
  </rcc>
  <rcc rId="3057" sId="17">
    <nc r="G25">
      <f>D19</f>
    </nc>
  </rcc>
  <rcc rId="3058" sId="17">
    <nc r="A22" t="inlineStr">
      <is>
        <t>Dekket deltaker lokalt</t>
      </is>
    </nc>
  </rcc>
  <rcc rId="3059" sId="17">
    <nc r="B24">
      <v>28</v>
    </nc>
  </rcc>
  <rrc rId="3060" sId="17" eol="1" ref="A26:XFD26" action="insertRow"/>
  <rcc rId="3061" sId="17" odxf="1" dxf="1">
    <nc r="A26" t="inlineStr">
      <is>
        <t>SUM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bottom" textRotation="0" wrapText="0" indent="0" justifyLastLine="0" shrinkToFit="0" readingOrder="0"/>
    </dxf>
  </rfmt>
  <rcc rId="3062" sId="17" odxf="1" dxf="1">
    <nc r="G26">
      <f>SUM(G23:G25)</f>
    </nc>
    <odxf>
      <numFmt numFmtId="0" formatCode="General"/>
    </odxf>
    <ndxf>
      <numFmt numFmtId="176" formatCode="_ * #,##0_ ;_ * \-#,##0_ ;_ * &quot;-&quot;??_ ;_ @_ "/>
    </ndxf>
  </rcc>
  <rfmt sheetId="17" sqref="G26">
    <dxf>
      <fill>
        <patternFill patternType="solid">
          <bgColor rgb="FFFFFF00"/>
        </patternFill>
      </fill>
    </dxf>
  </rfmt>
  <rcc rId="3063" sId="17" odxf="1" dxf="1">
    <nc r="A29" t="inlineStr">
      <is>
        <t>Total utgift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rc rId="3064" sId="17" eol="1" ref="A30:XFD30" action="insertRow"/>
  <rcc rId="3065" sId="17" odxf="1" dxf="1">
    <nc r="A30" t="inlineStr">
      <is>
        <t>Total inntekt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A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bottom" textRotation="0" wrapText="0" indent="0" justifyLastLine="0" shrinkToFit="0" readingOrder="0"/>
    </dxf>
  </rfmt>
  <rm rId="3066" sheetId="17" source="A30" destination="A28" sourceSheetId="17"/>
  <rrc rId="3067" sId="17" ref="A28:XFD28" action="insertRow"/>
  <rcc rId="3068" sId="17" odxf="1" dxf="1">
    <nc r="G29">
      <f>G26</f>
    </nc>
    <odxf>
      <numFmt numFmtId="0" formatCode="General"/>
    </odxf>
    <ndxf>
      <numFmt numFmtId="176" formatCode="_ * #,##0_ ;_ * \-#,##0_ ;_ * &quot;-&quot;??_ ;_ @_ "/>
    </ndxf>
  </rcc>
  <rcc rId="3069" sId="17" odxf="1" dxf="1">
    <nc r="G30">
      <f>G20+G26</f>
    </nc>
    <odxf>
      <numFmt numFmtId="0" formatCode="General"/>
    </odxf>
    <ndxf>
      <numFmt numFmtId="176" formatCode="_ * #,##0_ ;_ * \-#,##0_ ;_ * &quot;-&quot;??_ ;_ @_ "/>
    </ndxf>
  </rcc>
  <rcc rId="3070" sId="3">
    <oc r="B10">
      <f>75000</f>
    </oc>
    <nc r="B10">
      <f>Landsmøtet!G29</f>
    </nc>
  </rcc>
  <rcc rId="3071" sId="3" numFmtId="4">
    <oc r="B26">
      <v>7500</v>
    </oc>
    <nc r="B26">
      <f>5*1500</f>
    </nc>
  </rcc>
  <rcc rId="3072" sId="17" odxf="1" dxf="1">
    <nc r="E14" t="inlineStr">
      <is>
        <t>Se sentral og komite fane</t>
      </is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fmt sheetId="17" sqref="E14">
    <dxf>
      <alignment wrapText="1"/>
    </dxf>
  </rfmt>
  <rfmt sheetId="17" sqref="E14">
    <dxf>
      <fill>
        <patternFill patternType="solid">
          <bgColor rgb="FF92D050"/>
        </patternFill>
      </fill>
    </dxf>
  </rfmt>
  <rfmt sheetId="17" sqref="E14" start="0" length="2147483647">
    <dxf>
      <font>
        <b/>
      </font>
    </dxf>
  </rfmt>
  <rcc rId="3073" sId="3">
    <oc r="D26">
      <f>45000+B10</f>
    </oc>
    <nc r="D26">
      <f>Landsmøtet!G30</f>
    </nc>
  </rcc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76" sId="3" numFmtId="4">
    <oc r="B47">
      <v>125000</v>
    </oc>
    <nc r="B47">
      <v>100000</v>
    </nc>
  </rcc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77" sId="3" numFmtId="4">
    <oc r="B47">
      <v>100000</v>
    </oc>
    <nc r="B47">
      <v>130000</v>
    </nc>
  </rcc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078" sId="1" ref="A57:XFD57" action="deleteRow">
    <rfmt sheetId="1" xfDxf="1" sqref="A57:XFD57" start="0" length="0"/>
    <rcc rId="0" sId="1" dxf="1">
      <nc r="A57">
        <v>6550</v>
      </nc>
      <ndxf>
        <font>
          <sz val="11"/>
          <color rgb="FF000000"/>
          <name val="Calibri"/>
          <family val="2"/>
          <scheme val="none"/>
        </font>
      </ndxf>
    </rcc>
    <rcc rId="0" sId="1" dxf="1">
      <nc r="B57" t="inlineStr">
        <is>
          <t>Driftsmaterialer</t>
        </is>
      </nc>
      <ndxf>
        <font>
          <sz val="11"/>
          <color rgb="FF000000"/>
          <name val="Calibri"/>
          <family val="2"/>
          <scheme val="none"/>
        </font>
      </ndxf>
    </rcc>
    <rcc rId="0" sId="1" dxf="1">
      <nc r="C57">
        <f>Budsjett_enkel!#REF!</f>
      </nc>
      <ndxf>
        <font>
          <sz val="11"/>
          <color rgb="FF000000"/>
          <name val="Calibri"/>
          <family val="2"/>
          <scheme val="none"/>
        </font>
        <numFmt numFmtId="3" formatCode="#,##0"/>
      </ndxf>
    </rcc>
    <rcc rId="0" sId="1" dxf="1" numFmtId="34">
      <nc r="D57">
        <v>0</v>
      </nc>
      <ndxf>
        <font>
          <sz val="11"/>
          <color rgb="FF000000"/>
          <name val="Calibri"/>
          <family val="2"/>
          <scheme val="none"/>
        </font>
        <numFmt numFmtId="176" formatCode="_ * #,##0_ ;_ * \-#,##0_ ;_ * &quot;-&quot;??_ ;_ @_ "/>
        <fill>
          <patternFill patternType="solid">
            <bgColor theme="0" tint="-0.14999847407452621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1" s="1" dxf="1">
      <nc r="E57">
        <f>C57-D57</f>
      </nc>
      <ndxf>
        <font>
          <sz val="11"/>
          <color rgb="FF000000"/>
          <name val="Calibri"/>
          <family val="2"/>
          <scheme val="none"/>
        </font>
        <numFmt numFmtId="176" formatCode="_ * #,##0_ ;_ * \-#,##0_ ;_ * &quot;-&quot;??_ ;_ @_ "/>
        <fill>
          <patternFill patternType="solid">
            <fgColor rgb="FFFFD966"/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s="1" dxf="1" numFmtId="4">
      <nc r="F57">
        <v>11713</v>
      </nc>
      <ndxf>
        <font>
          <sz val="11"/>
          <color indexed="8"/>
          <name val="Calibri"/>
          <family val="2"/>
          <scheme val="none"/>
        </font>
        <numFmt numFmtId="3" formatCode="#,##0"/>
        <fill>
          <patternFill patternType="solid">
            <fgColor indexed="27"/>
            <bgColor theme="0"/>
          </patternFill>
        </fill>
      </ndxf>
    </rcc>
    <rfmt sheetId="1" sqref="G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H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I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J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K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L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M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N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O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P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Q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R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S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T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U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V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W5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  <rrc rId="3079" sId="1" ref="A37:XFD37" action="deleteRow">
    <rfmt sheetId="1" xfDxf="1" sqref="A37:XFD37" start="0" length="0"/>
    <rcc rId="0" sId="1" dxf="1">
      <nc r="A37">
        <f>Budsjett_enkel!#REF!</f>
      </nc>
      <ndxf>
        <font>
          <sz val="11"/>
          <color rgb="FF000000"/>
          <name val="Calibri"/>
          <family val="2"/>
          <scheme val="none"/>
        </font>
      </ndxf>
    </rcc>
    <rcc rId="0" sId="1" dxf="1">
      <nc r="B37" t="inlineStr">
        <is>
          <t>Lommepenger mm (EVS, FK)</t>
        </is>
      </nc>
      <ndxf>
        <font>
          <sz val="11"/>
          <color rgb="FF000000"/>
          <name val="Calibri"/>
          <family val="2"/>
          <scheme val="none"/>
        </font>
      </ndxf>
    </rcc>
    <rcc rId="0" sId="1" dxf="1">
      <nc r="C37">
        <f>Budsjett_enkel!#REF!</f>
      </nc>
      <ndxf>
        <font>
          <sz val="11"/>
          <color rgb="FF000000"/>
          <name val="Calibri"/>
          <family val="2"/>
          <scheme val="none"/>
        </font>
        <numFmt numFmtId="3" formatCode="#,##0"/>
      </ndxf>
    </rcc>
    <rcc rId="0" sId="1" dxf="1" numFmtId="4">
      <nc r="D37">
        <v>237000</v>
      </nc>
      <ndxf>
        <font>
          <sz val="11"/>
          <color rgb="FF000000"/>
          <name val="Calibri"/>
          <family val="2"/>
          <scheme val="none"/>
        </font>
        <numFmt numFmtId="3" formatCode="#,##0"/>
        <fill>
          <patternFill patternType="solid">
            <bgColor theme="0" tint="-0.14999847407452621"/>
          </patternFill>
        </fill>
      </ndxf>
    </rcc>
    <rcc rId="0" sId="1" s="1" dxf="1">
      <nc r="E37">
        <f>C37-D37</f>
      </nc>
      <ndxf>
        <font>
          <sz val="11"/>
          <color rgb="FF000000"/>
          <name val="Calibri"/>
          <family val="2"/>
          <scheme val="none"/>
        </font>
        <numFmt numFmtId="176" formatCode="_ * #,##0_ ;_ * \-#,##0_ ;_ * &quot;-&quot;??_ ;_ @_ 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</border>
      </ndxf>
    </rcc>
    <rcc rId="0" sId="1" s="1" dxf="1" numFmtId="4">
      <nc r="F37">
        <v>212623</v>
      </nc>
      <ndxf>
        <font>
          <sz val="11"/>
          <color indexed="8"/>
          <name val="Calibri"/>
          <family val="2"/>
          <scheme val="none"/>
        </font>
        <numFmt numFmtId="3" formatCode="#,##0"/>
        <fill>
          <patternFill patternType="solid">
            <fgColor indexed="27"/>
            <bgColor theme="0"/>
          </patternFill>
        </fill>
      </ndxf>
    </rcc>
    <rfmt sheetId="1" sqref="G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H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I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J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K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L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M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N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O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P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Q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R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S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T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U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V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  <rfmt sheetId="1" sqref="W3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rc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80" sId="1">
    <nc r="C55">
      <f>Budsjett_enkel!C51</f>
    </nc>
  </rcc>
  <rcc rId="3081" sId="3" numFmtId="4">
    <oc r="B75">
      <v>20000</v>
    </oc>
    <nc r="B75">
      <v>10000</v>
    </nc>
  </rcc>
  <rcv guid="{845F3A43-EF96-4057-9777-D2F2301CC149}" action="delete"/>
  <rdn rId="0" localSheetId="2" customView="1" name="Z_845F3A43_EF96_4057_9777_D2F2301CC149_.wvu.Cols" hidden="1" oldHidden="1">
    <formula>Budsjett_enkel!$D:$E,Budsjett_enkel!$K:$K,Budsjett_enkel!$M:$M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Pris'!$O:$O</formula>
    <oldFormula>'Oversikt Pris'!$O:$O</oldFormula>
  </rdn>
  <rcv guid="{845F3A43-EF96-4057-9777-D2F2301CC149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H15" start="0" length="2147483647">
    <dxf>
      <font>
        <b/>
      </font>
    </dxf>
  </rfmt>
  <rfmt sheetId="2" sqref="H14" start="0" length="2147483647">
    <dxf>
      <font>
        <b/>
      </font>
    </dxf>
  </rfmt>
  <rfmt sheetId="2" sqref="H12" start="0" length="2147483647">
    <dxf>
      <font>
        <b/>
      </font>
    </dxf>
  </rfmt>
  <rfmt sheetId="2" sqref="H10" start="0" length="2147483647">
    <dxf>
      <font>
        <b/>
      </font>
    </dxf>
  </rfmt>
  <rfmt sheetId="2" sqref="H4" start="0" length="2147483647">
    <dxf>
      <font>
        <b/>
      </font>
    </dxf>
  </rfmt>
  <rfmt sheetId="2" sqref="F6" start="0" length="2147483647">
    <dxf>
      <font>
        <b/>
      </font>
    </dxf>
  </rfmt>
  <rfmt sheetId="2" sqref="H25" start="0" length="2147483647">
    <dxf>
      <font>
        <b/>
      </font>
    </dxf>
  </rfmt>
  <rfmt sheetId="2" sqref="H26" start="0" length="2147483647">
    <dxf>
      <font>
        <b/>
      </font>
    </dxf>
  </rfmt>
  <rcc rId="3084" sId="2">
    <oc r="H67">
      <f>Program!H28+Program!H30+Program!H32+Program!H34+Program!H36+Program!H37+Program!H41+Program!H45</f>
    </oc>
    <nc r="H67">
      <f>Program!H28+Program!H30+Program!H32+Program!H34+Program!H36+Program!H37+Program!H41+Program!H43+Program!H45</f>
    </nc>
  </rcc>
  <rfmt sheetId="2" sqref="H67" start="0" length="2147483647">
    <dxf>
      <font>
        <b/>
      </font>
    </dxf>
  </rfmt>
  <rfmt sheetId="2" sqref="H84">
    <dxf>
      <numFmt numFmtId="180" formatCode="\ #,##0.0\ ;&quot; -&quot;#,##0.0\ ;&quot; - &quot;;@\ "/>
    </dxf>
  </rfmt>
  <rfmt sheetId="2" sqref="H84">
    <dxf>
      <numFmt numFmtId="181" formatCode="\ #,##0.00\ ;&quot; -&quot;#,##0.00\ ;&quot; - &quot;;@\ "/>
    </dxf>
  </rfmt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85" sId="5" numFmtId="4">
    <oc r="B12">
      <v>-659</v>
    </oc>
    <nc r="B12"/>
  </rcc>
  <rcc rId="3086" sId="5" numFmtId="4">
    <oc r="B27">
      <v>-499</v>
    </oc>
    <nc r="B27">
      <v>-470</v>
    </nc>
  </rcc>
  <rcc rId="3087" sId="5" numFmtId="4">
    <oc r="C27">
      <v>-749</v>
    </oc>
    <nc r="C27">
      <v>-720</v>
    </nc>
  </rcc>
  <rcc rId="3088" sId="5" numFmtId="4">
    <oc r="D27">
      <v>-1049</v>
    </oc>
    <nc r="D27">
      <v>-1020</v>
    </nc>
  </rcc>
  <rcc rId="3089" sId="5" numFmtId="4">
    <oc r="E27">
      <v>-1049</v>
    </oc>
    <nc r="E27">
      <v>-1020</v>
    </nc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0" sId="5" numFmtId="4">
    <oc r="B41">
      <v>-494</v>
    </oc>
    <nc r="B41">
      <v>-515</v>
    </nc>
  </rcc>
  <rcc rId="3091" sId="5">
    <oc r="B42">
      <f>_xlfn.FLOOR.MATH(B40+B41,,FALSE)</f>
    </oc>
    <nc r="B42">
      <f>_xlfn.CEILING.MATH(B40+B41,,FALSE)</f>
    </nc>
  </rcc>
  <rcc rId="3092" sId="5">
    <oc r="B54">
      <f>133</f>
    </oc>
    <nc r="B54">
      <f>163</f>
    </nc>
  </rcc>
  <rcc rId="3093" sId="5" numFmtId="4">
    <oc r="C54">
      <v>-130</v>
    </oc>
    <nc r="C54">
      <v>-101</v>
    </nc>
  </rcc>
  <rcc rId="3094" sId="5">
    <oc r="C55">
      <f>_xlfn.FLOOR.MATH(C53+C54,,FALSE)</f>
    </oc>
    <nc r="C55">
      <f>_xlfn.CEILING.MATH(C53+C54,,FALSE)</f>
    </nc>
  </rcc>
  <rcc rId="3095" sId="5" numFmtId="4">
    <oc r="D54">
      <v>-367</v>
    </oc>
    <nc r="D54">
      <v>-338</v>
    </nc>
  </rcc>
  <rcc rId="3096" sId="5">
    <oc r="D55">
      <f>_xlfn.FLOOR.MATH(D53+D54,,FALSE)</f>
    </oc>
    <nc r="D55">
      <f>_xlfn.CEILING.MATH(D53+D54,,FALSE)</f>
    </nc>
  </rcc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97" sId="5">
    <oc r="E54">
      <f>-730</f>
    </oc>
    <nc r="E54">
      <f>-701</f>
    </nc>
  </rcc>
  <rcc rId="3098" sId="5">
    <oc r="E55">
      <f>_xlfn.FLOOR.MATH(E53+E54,,FALSE)</f>
    </oc>
    <nc r="E55">
      <f>_xlfn.CEILING.MATH(E53+E54,,FALSE)</f>
    </nc>
  </rcc>
  <rcc rId="3099" sId="5">
    <oc r="F54">
      <f>-529</f>
    </oc>
    <nc r="F54">
      <f>-500</f>
    </nc>
  </rcc>
  <rcc rId="3100" sId="5">
    <oc r="G54">
      <f>-582</f>
    </oc>
    <nc r="G54">
      <f>-552</f>
    </nc>
  </rcc>
  <rcc rId="3101" sId="5">
    <oc r="G55">
      <f>_xlfn.CEILING.MATH(G53+G54,,FALSE)</f>
    </oc>
    <nc r="G55">
      <f>_xlfn.FLOOR.MATH(G53+G54,,FALSE)</f>
    </nc>
  </rcc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02" sId="5" numFmtId="4">
    <oc r="B66">
      <v>-588</v>
    </oc>
    <nc r="B66">
      <v>-626</v>
    </nc>
  </rcc>
  <rcc rId="3103" sId="5" numFmtId="4">
    <oc r="B77">
      <v>-457</v>
    </oc>
    <nc r="B77">
      <v>-327</v>
    </nc>
  </rcc>
  <rcc rId="3104" sId="5" numFmtId="4">
    <oc r="C77">
      <v>-421</v>
    </oc>
    <nc r="C77">
      <v>-342</v>
    </nc>
  </rcc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05" sId="5" numFmtId="4">
    <oc r="J34">
      <v>3799.6076999999996</v>
    </oc>
    <nc r="J34">
      <f>B78</f>
    </nc>
  </rcc>
  <rcc rId="3106" sId="5" numFmtId="4">
    <oc r="J35">
      <v>4199.6076999999996</v>
    </oc>
    <nc r="J35">
      <f>C78</f>
    </nc>
  </rcc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07" sId="5" numFmtId="4">
    <oc r="J31">
      <v>7399.7493666666651</v>
    </oc>
    <nc r="J31">
      <f>B67</f>
    </nc>
  </rcc>
  <rcc rId="3108" sId="5" numFmtId="4">
    <oc r="J22">
      <v>2799.5423166666665</v>
    </oc>
    <nc r="J22">
      <f>I22*6</f>
    </nc>
  </rcc>
  <rcc rId="3109" sId="5" numFmtId="4">
    <oc r="J23">
      <v>3499.5423166666665</v>
    </oc>
    <nc r="J23">
      <f>I23*6</f>
    </nc>
  </rcc>
  <rcc rId="3110" sId="5" numFmtId="4">
    <oc r="J24">
      <v>3799.7673166666668</v>
    </oc>
    <nc r="J24">
      <f>I24*6</f>
    </nc>
  </rcc>
  <rcc rId="3111" sId="5" numFmtId="4">
    <oc r="J25">
      <v>4499.7673166666664</v>
    </oc>
    <nc r="J25">
      <f>I25*6</f>
    </nc>
  </rcc>
  <rcc rId="3112" sId="5" numFmtId="4">
    <oc r="J26">
      <v>3299.8076999999994</v>
    </oc>
    <nc r="J26"/>
  </rcc>
  <rcc rId="3113" sId="5" numFmtId="4">
    <oc r="J27">
      <v>4300.0326999999997</v>
    </oc>
    <nc r="J27"/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14" sId="5" numFmtId="4">
    <nc r="B12">
      <v>-529</v>
    </nc>
  </rcc>
  <rcc rId="3115" sId="5">
    <oc r="B13">
      <f>_xlfn.CEILING.MATH(B11+B12,,TRUE)</f>
    </oc>
    <nc r="B13">
      <f>_xlfn.FLOOR.MATH(B11+B12,,TRUE)</f>
    </nc>
  </rcc>
  <rcc rId="3116" sId="5">
    <oc r="C13">
      <f>_xlfn.CEILING.MATH(C11+C12,,TRUE)</f>
    </oc>
    <nc r="C13">
      <f>_xlfn.FLOOR.MATH(C11+C12,,TRUE)</f>
    </nc>
  </rcc>
  <rcc rId="3117" sId="5" numFmtId="4">
    <oc r="C12">
      <v>-859</v>
    </oc>
    <nc r="C12">
      <v>-729</v>
    </nc>
  </rcc>
  <rcc rId="3118" sId="5">
    <oc r="D12">
      <f>-1159</f>
    </oc>
    <nc r="D12">
      <f>-1029</f>
    </nc>
  </rcc>
  <rcc rId="3119" sId="5">
    <oc r="D13">
      <f>_xlfn.CEILING.MATH(D11+D12,,TRUE)</f>
    </oc>
    <nc r="D13">
      <f>_xlfn.FLOOR.MATH(D11+D12,,TRUE)</f>
    </nc>
  </rcc>
  <rcc rId="3120" sId="5">
    <oc r="E12">
      <f>-1159</f>
    </oc>
    <nc r="E12">
      <f>-1029</f>
    </nc>
  </rcc>
  <rcc rId="3121" sId="5">
    <oc r="E13">
      <f>_xlfn.CEILING.MATH(E11+E12,,TRUE)</f>
    </oc>
    <nc r="E13">
      <f>_xlfn.FLOOR.MATH(E11+E12,,TRUE)</f>
    </nc>
  </rcc>
  <rcc rId="3122" sId="5" numFmtId="4">
    <oc r="F12">
      <v>-931</v>
    </oc>
    <nc r="F12">
      <v>-951</v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H25:H26" start="0" length="2147483647">
    <dxf>
      <font>
        <b val="0"/>
      </font>
    </dxf>
  </rfmt>
  <rfmt sheetId="2" sqref="F6 H4 H10:H16" start="0" length="2147483647">
    <dxf>
      <font>
        <b val="0"/>
      </font>
    </dxf>
  </rfmt>
  <rfmt sheetId="2" sqref="G10" start="0" length="0">
    <dxf>
      <fill>
        <patternFill patternType="none">
          <fgColor indexed="64"/>
          <bgColor indexed="65"/>
        </patternFill>
      </fill>
      <border outline="0">
        <left/>
      </border>
    </dxf>
  </rfmt>
  <rfmt sheetId="2" sqref="I10" start="0" length="0">
    <dxf>
      <fill>
        <patternFill patternType="none">
          <fgColor indexed="64"/>
          <bgColor indexed="65"/>
        </patternFill>
      </fill>
      <border outline="0">
        <left/>
      </border>
    </dxf>
  </rfmt>
  <rcc rId="3123" sId="2">
    <oc r="C2" t="inlineStr">
      <is>
        <t>Budsjett 2019</t>
      </is>
    </oc>
    <nc r="C2" t="inlineStr">
      <is>
        <t>Budsjett 2020</t>
      </is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H67" start="0" length="2147483647">
    <dxf>
      <font>
        <b val="0"/>
      </font>
    </dxf>
  </rfmt>
  <rcc rId="3126" sId="1">
    <oc r="D1" t="inlineStr">
      <is>
        <t>Budsjett 2019 RSM 2018</t>
      </is>
    </oc>
    <nc r="D1" t="inlineStr">
      <is>
        <t>Revidert budsjett 2019</t>
      </is>
    </nc>
  </rcc>
  <rcc rId="3127" sId="1">
    <oc r="C1" t="inlineStr">
      <is>
        <t xml:space="preserve">Budsjett 19 </t>
      </is>
    </oc>
    <nc r="C1" t="inlineStr">
      <is>
        <t>Budsjett 2020</t>
      </is>
    </nc>
  </rcc>
  <rcc rId="3128" sId="1">
    <oc r="A1" t="inlineStr">
      <is>
        <t>CISV NORGE 2019 BUDSJETT</t>
      </is>
    </oc>
    <nc r="A1" t="inlineStr">
      <is>
        <t>CISV NORGE 2020 BUDSJETT</t>
      </is>
    </nc>
  </rcc>
  <rcc rId="3129" sId="1">
    <oc r="E1" t="inlineStr">
      <is>
        <t>Differanse 19 - RSM 2018</t>
      </is>
    </oc>
    <nc r="E1" t="inlineStr">
      <is>
        <t>Differanse 20 - LM 19</t>
      </is>
    </nc>
  </rcc>
  <rcc rId="3130" sId="1" odxf="1" dxf="1">
    <oc r="C2" t="inlineStr">
      <is>
        <t xml:space="preserve">Budsjett 19 </t>
      </is>
    </oc>
    <nc r="C2" t="inlineStr">
      <is>
        <t>Budsjett 2020</t>
      </is>
    </nc>
    <odxf>
      <border outline="0">
        <top style="thin">
          <color rgb="FF000000"/>
        </top>
      </border>
    </odxf>
    <ndxf>
      <border outline="0">
        <top/>
      </border>
    </ndxf>
  </rcc>
  <rcc rId="3131" sId="1" odxf="1" dxf="1">
    <oc r="C24" t="inlineStr">
      <is>
        <t>Budsjett 19</t>
      </is>
    </oc>
    <nc r="C24" t="inlineStr">
      <is>
        <t>Budsjett 2020</t>
      </is>
    </nc>
    <odxf>
      <numFmt numFmtId="3" formatCode="#,##0"/>
      <border outline="0">
        <top style="thin">
          <color indexed="64"/>
        </top>
        <bottom style="thin">
          <color indexed="64"/>
        </bottom>
      </border>
    </odxf>
    <ndxf>
      <numFmt numFmtId="0" formatCode="General"/>
      <border outline="0">
        <top/>
        <bottom style="thin">
          <color rgb="FF000000"/>
        </bottom>
      </border>
    </ndxf>
  </rcc>
  <rcc rId="3132" sId="1" odxf="1" dxf="1">
    <oc r="C104" t="inlineStr">
      <is>
        <t>Budsjett 19</t>
      </is>
    </oc>
    <nc r="C104" t="inlineStr">
      <is>
        <t>Budsjett 2020</t>
      </is>
    </nc>
    <odxf>
      <numFmt numFmtId="3" formatCode="#,##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odxf>
    <ndxf>
      <numFmt numFmtId="0" formatCode="General"/>
      <border outline="0">
        <left/>
        <top/>
        <bottom style="thin">
          <color rgb="FF000000"/>
        </bottom>
      </border>
    </ndxf>
  </rcc>
  <rcc rId="3133" sId="1">
    <oc r="D2" t="inlineStr">
      <is>
        <t>Budsjett 2019 RSM 2018</t>
      </is>
    </oc>
    <nc r="D2" t="inlineStr">
      <is>
        <t>Revidert budsjett 2019</t>
      </is>
    </nc>
  </rcc>
  <rcc rId="3134" sId="1" odxf="1" dxf="1">
    <oc r="D24" t="inlineStr">
      <is>
        <t>Budsjett 2019 RSM 2018</t>
      </is>
    </oc>
    <nc r="D24" t="inlineStr">
      <is>
        <t>Revidert budsjett 2019</t>
      </is>
    </nc>
    <odxf>
      <font>
        <b val="0"/>
        <sz val="11"/>
        <name val="Calibri"/>
        <family val="2"/>
      </font>
    </odxf>
    <ndxf>
      <font>
        <b/>
        <sz val="11"/>
        <name val="Calibri"/>
        <family val="2"/>
      </font>
    </ndxf>
  </rcc>
  <rcc rId="3135" sId="1" odxf="1" dxf="1">
    <oc r="D104" t="inlineStr">
      <is>
        <t>Budsjett 2019 RSM 2018</t>
      </is>
    </oc>
    <nc r="D104" t="inlineStr">
      <is>
        <t>Revidert budsjett 2019</t>
      </is>
    </nc>
    <odxf>
      <font>
        <b val="0"/>
        <sz val="11"/>
        <name val="Calibri"/>
        <family val="2"/>
      </font>
    </odxf>
    <ndxf>
      <font>
        <b/>
        <sz val="11"/>
        <name val="Calibri"/>
        <family val="2"/>
      </font>
    </ndxf>
  </rcc>
  <rm rId="3136" sheetId="1" source="I16" destination="I17" sourceSheetId="1">
    <rfmt sheetId="1" sqref="I17" start="0" length="0">
      <dxf>
        <font>
          <sz val="11"/>
          <color rgb="FF000000"/>
          <name val="Calibri"/>
          <family val="2"/>
          <scheme val="none"/>
        </font>
        <fill>
          <patternFill patternType="solid">
            <fgColor rgb="FFFFFFFF"/>
            <bgColor rgb="FFFFFFFF"/>
          </patternFill>
        </fill>
      </dxf>
    </rfmt>
  </rm>
  <rcc rId="3137" sId="1" xfDxf="1" dxf="1" numFmtId="4">
    <oc r="D3">
      <v>394200</v>
    </oc>
    <nc r="D3">
      <v>375000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38" sId="1" xfDxf="1" dxf="1" numFmtId="4">
    <oc r="D4">
      <v>159629.20000000001</v>
    </oc>
    <nc r="D4">
      <v>159629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39" sId="1" xfDxf="1" dxf="1" numFmtId="4">
    <oc r="D5">
      <v>349140</v>
    </oc>
    <nc r="D5">
      <v>322920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40" sId="1" xfDxf="1" dxf="1" numFmtId="4">
    <oc r="D8">
      <v>451810</v>
    </oc>
    <nc r="D8">
      <v>375810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qref="D9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cc rId="3141" sId="1" xfDxf="1" dxf="1" numFmtId="4">
    <oc r="D10">
      <v>755207.58620689658</v>
    </oc>
    <nc r="D10">
      <v>734708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qref="D11" start="0" length="0">
    <dxf>
      <fill>
        <patternFill patternType="solid">
          <bgColor theme="0" tint="-0.14999847407452621"/>
        </patternFill>
      </fill>
    </dxf>
  </rfmt>
  <rcc rId="3142" sId="1" xfDxf="1" dxf="1" numFmtId="4">
    <oc r="D12">
      <v>1167106</v>
    </oc>
    <nc r="D12">
      <v>1334472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43" sId="1" xfDxf="1" dxf="1" numFmtId="4">
    <oc r="D13">
      <v>750000</v>
    </oc>
    <nc r="D13">
      <v>800000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44" sId="1" xfDxf="1" dxf="1" numFmtId="4">
    <oc r="D14">
      <v>1653461.8342000002</v>
    </oc>
    <nc r="D14">
      <v>1543895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qref="D15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16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17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18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19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="1" sqref="D2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3145" sId="1" xfDxf="1" dxf="1" numFmtId="4">
    <oc r="D25">
      <v>394200</v>
    </oc>
    <nc r="D25">
      <v>375000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46" sId="1" xfDxf="1" dxf="1" numFmtId="4">
    <oc r="D26">
      <v>859000</v>
    </oc>
    <nc r="D26">
      <v>749000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="1" sqref="D2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3147" sId="1" xfDxf="1" dxf="1" numFmtId="4">
    <oc r="D28">
      <v>864148.72262865526</v>
    </oc>
    <nc r="D28">
      <v>870519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qref="D29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cc rId="3148" sId="1" xfDxf="1" dxf="1" numFmtId="4">
    <oc r="D30">
      <v>465500</v>
    </oc>
    <nc r="D30">
      <v>318500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qref="D31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32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rc rId="3149" sId="1" ref="A37:XFD37" action="insertRow"/>
  <rcc rId="3150" sId="1">
    <nc r="A37">
      <v>5002</v>
    </nc>
  </rcc>
  <rcc rId="3151" sId="1">
    <nc r="B37" t="inlineStr">
      <is>
        <t>Lommepenger (EVS, FK)</t>
      </is>
    </nc>
  </rcc>
  <rfmt sheetId="1" xfDxf="1" sqref="D35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36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cc rId="3152" sId="1" xfDxf="1" dxf="1" numFmtId="34">
    <nc r="D37">
      <v>105000</v>
    </nc>
    <n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</ndxf>
  </rcc>
  <rfmt sheetId="1" xfDxf="1" sqref="D38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cc rId="3153" sId="1" xfDxf="1" dxf="1" numFmtId="4">
    <oc r="D39">
      <v>49054.777199999997</v>
    </oc>
    <nc r="D39">
      <v>71352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="1" sqref="D4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fmt sheetId="1" xfDxf="1" s="1" sqref="D4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cc rId="3154" sId="1" xfDxf="1" dxf="1" numFmtId="4">
    <oc r="D42">
      <v>58792.150474199989</v>
    </oc>
    <nc r="D42">
      <v>85516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55" sId="1" xfDxf="1" dxf="1" numFmtId="4">
    <oc r="D43">
      <v>6916.7235851999985</v>
    </oc>
    <nc r="D43">
      <v>10061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56" sId="1" xfDxf="1" dxf="1" numFmtId="4">
    <oc r="D44">
      <v>8175.7961999999998</v>
    </oc>
    <nc r="D44">
      <v>11892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fmt sheetId="1" xfDxf="1" s="1" sqref="D4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fmt sheetId="1" xfDxf="1" s="1" sqref="D4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fmt sheetId="1" xfDxf="1" s="1" sqref="D4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cc rId="3157" sId="1" xfDxf="1" dxf="1" numFmtId="4">
    <oc r="D48">
      <v>1500</v>
    </oc>
    <nc r="D48">
      <v>3000</v>
    </nc>
    <n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ndxf>
  </rcc>
  <rcc rId="3158" sId="1" xfDxf="1" s="1" dxf="1" numFmtId="34">
    <nc r="D49">
      <v>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1" hidden="0"/>
    </ndxf>
  </rcc>
  <rm rId="3159" sheetId="2" source="F36" destination="F34" sourceSheetId="2">
    <undo index="65535" exp="area" dr="F34:F45" r="F46" sId="2"/>
    <undo index="0" exp="ref" v="1" dr="F34" r="C34" sId="2"/>
    <rfmt sheetId="2" sqref="F34" start="0" length="0">
      <dxf>
        <font>
          <sz val="11"/>
          <color rgb="FF000000"/>
          <name val="Calibri"/>
          <family val="2"/>
          <scheme val="none"/>
        </font>
        <numFmt numFmtId="167" formatCode="\ #,##0\ ;&quot; -&quot;#,##0\ ;&quot; - &quot;;@\ "/>
        <fill>
          <patternFill patternType="solid">
            <fgColor rgb="FFFFD966"/>
            <bgColor rgb="FFFFD966"/>
          </patternFill>
        </fill>
        <border outline="0">
          <left style="thin">
            <color rgb="FF000000"/>
          </left>
          <right style="thin">
            <color rgb="FF000000"/>
          </right>
        </border>
      </dxf>
    </rfmt>
  </rm>
  <rcc rId="3160" sId="2">
    <oc r="C34">
      <f>#REF!+H34+J34+L34</f>
    </oc>
    <nc r="C34">
      <f>F34+H34+J34+L34</f>
    </nc>
  </rcc>
  <rfmt sheetId="2" sqref="F36" start="0" length="0">
    <dxf>
      <font>
        <sz val="11"/>
        <color rgb="FF000000"/>
        <name val="Calibri"/>
        <family val="2"/>
        <scheme val="none"/>
      </font>
      <numFmt numFmtId="167" formatCode="\ #,##0\ ;&quot; -&quot;#,##0\ ;&quot; - &quot;;@\ "/>
      <fill>
        <patternFill patternType="solid">
          <fgColor rgb="FFFFD966"/>
          <bgColor rgb="FFFFD966"/>
        </patternFill>
      </fill>
      <border outline="0">
        <left style="thin">
          <color rgb="FF000000"/>
        </left>
        <right style="thin">
          <color rgb="FF000000"/>
        </right>
      </border>
    </dxf>
  </rfmt>
  <rcc rId="3161" sId="2" odxf="1" dxf="1">
    <oc r="C35">
      <f>F35+H35+J35+L35</f>
    </oc>
    <nc r="C35">
      <f>F35+H35+J35+L35</f>
    </nc>
    <odxf/>
    <ndxf/>
  </rcc>
  <rcc rId="3162" sId="2" odxf="1" dxf="1">
    <oc r="C36">
      <f>F34+H36+J36+L36</f>
    </oc>
    <nc r="C36">
      <f>F36+H36+J36+L36</f>
    </nc>
    <ndxf/>
  </rcc>
  <rcc rId="3163" sId="1" odxf="1" dxf="1" numFmtId="4">
    <oc r="D35">
      <v>0</v>
    </oc>
    <nc r="D35">
      <v>594603</v>
    </nc>
    <ndxf>
      <numFmt numFmtId="3" formatCode="#,##0"/>
      <border outline="0">
        <left/>
        <right/>
      </border>
    </ndxf>
  </rcc>
  <rcc rId="3164" sId="1" numFmtId="4">
    <oc r="D38">
      <v>408789.81</v>
    </oc>
    <nc r="D38"/>
  </rcc>
  <rfmt sheetId="1" xfDxf="1" s="1" sqref="D5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="1" sqref="D5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="1" sqref="D5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="1" sqref="D5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="1" sqref="D5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="1" sqref="D5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1" xfDxf="1" sqref="D57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58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59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cc rId="3165" sId="1" xfDxf="1" dxf="1">
    <oc r="D60">
      <v>0</v>
    </oc>
    <nc r="D60"/>
    <n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ndxf>
  </rcc>
  <rfmt sheetId="1" xfDxf="1" sqref="D61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="1" sqref="D6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rfmt>
  <rfmt sheetId="1" xfDxf="1" sqref="D63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64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65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66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67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68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69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70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cc rId="3166" sId="1" xfDxf="1" dxf="1" numFmtId="34">
    <nc r="D71">
      <v>0</v>
    </nc>
    <n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ndxf>
  </rcc>
  <rfmt sheetId="1" xfDxf="1" sqref="D72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73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74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75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76" start="0" length="0">
    <dxf>
      <font>
        <sz val="11"/>
        <name val="Calibri"/>
        <family val="2"/>
      </font>
      <numFmt numFmtId="3" formatCode="#,##0"/>
      <fill>
        <patternFill patternType="solid">
          <bgColor theme="0" tint="-0.14999847407452621"/>
        </patternFill>
      </fill>
    </dxf>
  </rfmt>
  <rfmt sheetId="1" xfDxf="1" sqref="D77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78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79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80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81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qref="D82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xfDxf="1" s="1" sqref="D8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6" formatCode="_ * #,##0_ ;_ * \-#,##0_ ;_ * &quot;-&quot;??_ ;_ @_ "/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rfmt>
  <rfmt sheetId="1" xfDxf="1" sqref="D84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cc rId="3167" sId="1" xfDxf="1" dxf="1" numFmtId="34">
    <nc r="D85">
      <v>0</v>
    </nc>
    <n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ndxf>
  </rcc>
  <rfmt sheetId="1" xfDxf="1" sqref="D86" start="0" length="0">
    <dxf>
      <font>
        <sz val="11"/>
        <name val="Calibri"/>
        <family val="2"/>
      </font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s="1" sqref="D52" start="0" length="0">
    <dxf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fmt sheetId="1" s="1" sqref="D53" start="0" length="0">
    <dxf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cc rId="3168" sId="1" odxf="1" s="1" dxf="1" numFmtId="34">
    <nc r="D54">
      <v>0</v>
    </nc>
    <ndxf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ndxf>
  </rcc>
  <rfmt sheetId="1" s="1" sqref="D55" start="0" length="0">
    <dxf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dxf>
  </rfmt>
  <rcc rId="3169" sId="1" odxf="1" s="1" dxf="1" numFmtId="34">
    <nc r="D56">
      <v>0</v>
    </nc>
    <ndxf>
      <numFmt numFmtId="176" formatCode="_ * #,##0_ ;_ * \-#,##0_ ;_ * &quot;-&quot;??_ ;_ @_ "/>
      <fill>
        <patternFill patternType="solid">
          <bgColor theme="0" tint="-0.14999847407452621"/>
        </patternFill>
      </fill>
      <border outline="0">
        <left style="thin">
          <color indexed="64"/>
        </left>
        <right style="thin">
          <color indexed="64"/>
        </right>
      </border>
    </ndxf>
  </rcc>
  <rfmt sheetId="1" sqref="D58" start="0" length="0">
    <dxf>
      <numFmt numFmtId="176" formatCode="_ * #,##0_ ;_ * \-#,##0_ ;_ * &quot;-&quot;??_ ;_ @_ "/>
      <border outline="0">
        <left style="thin">
          <color indexed="64"/>
        </left>
        <right style="thin">
          <color indexed="64"/>
        </right>
      </border>
    </dxf>
  </rfmt>
  <rcc rId="3170" sId="1" numFmtId="34">
    <oc r="D57">
      <v>0</v>
    </oc>
    <nc r="D57"/>
  </rcc>
  <rfmt sheetId="1" s="1" sqref="D63" start="0" length="0">
    <dxf>
      <numFmt numFmtId="176" formatCode="_ * #,##0_ ;_ * \-#,##0_ ;_ * &quot;-&quot;??_ ;_ @_ "/>
      <border outline="0">
        <left style="thin">
          <color indexed="64"/>
        </left>
        <right style="thin">
          <color indexed="64"/>
        </right>
      </border>
    </dxf>
  </rfmt>
  <rfmt sheetId="1" s="1" sqref="D62" start="0" length="0">
    <dxf/>
  </rfmt>
  <rcc rId="3171" sId="1" numFmtId="4">
    <oc r="D70">
      <v>10000</v>
    </oc>
    <nc r="D70">
      <v>22000</v>
    </nc>
  </rcc>
  <rcc rId="3172" sId="1" numFmtId="4">
    <oc r="D67">
      <v>368084.75</v>
    </oc>
    <nc r="D67">
      <v>354065</v>
    </nc>
  </rcc>
  <rcc rId="3173" sId="1" odxf="1" dxf="1" numFmtId="34">
    <oc r="D66">
      <v>60000</v>
    </oc>
    <nc r="D66">
      <v>70000</v>
    </nc>
    <ndxf>
      <numFmt numFmtId="176" formatCode="_ * #,##0_ ;_ * \-#,##0_ ;_ * &quot;-&quot;??_ ;_ @_ "/>
      <border outline="0">
        <left style="thin">
          <color indexed="64"/>
        </left>
        <right style="thin">
          <color indexed="64"/>
        </right>
      </border>
    </ndxf>
  </rcc>
  <rcc rId="3174" sId="1" numFmtId="34">
    <nc r="D65">
      <v>0</v>
    </nc>
  </rcc>
  <rcc rId="3175" sId="1" odxf="1" dxf="1" numFmtId="34">
    <oc r="D73">
      <v>828055</v>
    </oc>
    <nc r="D73">
      <v>865358</v>
    </nc>
    <ndxf>
      <numFmt numFmtId="176" formatCode="_ * #,##0_ ;_ * \-#,##0_ ;_ * &quot;-&quot;??_ ;_ @_ "/>
      <border outline="0">
        <left style="thin">
          <color indexed="64"/>
        </left>
        <right style="thin">
          <color indexed="64"/>
        </right>
      </border>
    </ndxf>
  </rcc>
  <rcc rId="3176" sId="1" odxf="1" dxf="1" numFmtId="34">
    <oc r="D76">
      <v>311238</v>
    </oc>
    <nc r="D76">
      <v>294150</v>
    </nc>
    <ndxf>
      <numFmt numFmtId="176" formatCode="_ * #,##0_ ;_ * \-#,##0_ ;_ * &quot;-&quot;??_ ;_ @_ "/>
      <border outline="0">
        <left style="thin">
          <color indexed="64"/>
        </left>
        <right style="thin">
          <color indexed="64"/>
        </right>
      </border>
    </ndxf>
  </rcc>
  <rcc rId="3177" sId="1" numFmtId="34">
    <oc r="D78">
      <v>16000</v>
    </oc>
    <nc r="D78">
      <v>20000</v>
    </nc>
  </rcc>
  <rcc rId="3178" sId="1" numFmtId="34">
    <oc r="D77">
      <v>0</v>
    </oc>
    <nc r="D77"/>
  </rcc>
  <rfmt sheetId="1" s="1" sqref="D84" start="0" length="0">
    <dxf>
      <font>
        <sz val="10"/>
        <color auto="1"/>
        <name val="Arial"/>
        <family val="2"/>
        <scheme val="none"/>
      </font>
    </dxf>
  </rfmt>
  <rcc rId="3179" sId="1" numFmtId="34">
    <oc r="D83">
      <v>0</v>
    </oc>
    <nc r="D83"/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D112:D113">
    <dxf>
      <fill>
        <patternFill>
          <bgColor rgb="FF92D050"/>
        </patternFill>
      </fill>
    </dxf>
  </rfmt>
  <rcc rId="2298" sId="8" numFmtId="13">
    <oc r="D112">
      <v>0.6</v>
    </oc>
    <nc r="D112">
      <v>0.5</v>
    </nc>
  </rcc>
  <rcc rId="2299" sId="8" numFmtId="13">
    <oc r="D113">
      <v>0.7</v>
    </oc>
    <nc r="D113">
      <v>0.6</v>
    </nc>
  </rcc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82" sId="6" numFmtId="4">
    <oc r="B8">
      <v>25000</v>
    </oc>
    <nc r="B8">
      <f>25000*0.4</f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9" start="0" length="2147483647">
    <dxf>
      <font>
        <b/>
      </font>
    </dxf>
  </rfmt>
  <rfmt sheetId="2" sqref="C21" start="0" length="2147483647">
    <dxf>
      <font>
        <b/>
      </font>
    </dxf>
  </rfmt>
  <rfmt sheetId="2" sqref="C22" start="0" length="2147483647">
    <dxf>
      <font>
        <b/>
      </font>
    </dxf>
  </rfmt>
  <rfmt sheetId="2" sqref="C33" start="0" length="2147483647">
    <dxf>
      <font>
        <b/>
      </font>
    </dxf>
  </rfmt>
  <rfmt sheetId="2" sqref="C46" start="0" length="2147483647">
    <dxf>
      <font>
        <b/>
      </font>
    </dxf>
  </rfmt>
  <rfmt sheetId="2" sqref="C78" start="0" length="2147483647">
    <dxf>
      <font>
        <b/>
      </font>
    </dxf>
  </rfmt>
  <rfmt sheetId="2" sqref="C81" start="0" length="2147483647">
    <dxf>
      <font>
        <b/>
      </font>
    </dxf>
  </rfmt>
  <rfmt sheetId="2" sqref="C76" start="0" length="2147483647">
    <dxf>
      <font>
        <b/>
      </font>
    </dxf>
  </rfmt>
  <rfmt sheetId="2" sqref="C73" start="0" length="2147483647">
    <dxf>
      <font>
        <b/>
      </font>
    </dxf>
  </rfmt>
  <rfmt sheetId="2" sqref="C71" start="0" length="2147483647">
    <dxf>
      <font>
        <b/>
      </font>
    </dxf>
  </rfmt>
  <rrc rId="3183" sId="1" ref="A75:XFD75" action="insertRow"/>
  <rcc rId="3184" sId="1">
    <nc r="A75">
      <v>7320</v>
    </nc>
  </rcc>
  <rcc rId="3185" sId="1">
    <nc r="B75" t="inlineStr">
      <is>
        <t>Reklamekostnad</t>
      </is>
    </nc>
  </rcc>
  <rcc rId="3186" sId="1">
    <nc r="C75">
      <f>Budsjett_enkel!C69</f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89" sId="1">
    <nc r="E75">
      <f>C75-D75</f>
    </nc>
  </rcc>
  <rcc rId="3190" sId="1" numFmtId="4">
    <nc r="D75">
      <v>60000</v>
    </nc>
  </rcc>
  <rcc rId="3191" sId="1" xfDxf="1" s="1" dxf="1" numFmtId="34">
    <nc r="F37">
      <v>212623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1" formatCode="_-* #,##0_-;\-* #,##0_-;_-* &quot;-&quot;??_-;_-@_-"/>
      <alignment horizontal="general" vertical="top" textRotation="0" wrapText="1" indent="0" justifyLastLine="0" shrinkToFit="0" readingOrder="0"/>
      <border diagonalUp="0" diagonalDown="0"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fmt sheetId="1" sqref="F88" start="0" length="2147483647">
    <dxf>
      <font>
        <b/>
      </font>
    </dxf>
  </rfmt>
  <rfmt sheetId="1" sqref="F87" start="0" length="2147483647">
    <dxf>
      <font>
        <b/>
      </font>
    </dxf>
  </rfmt>
  <rfmt sheetId="1" sqref="F85" start="0" length="2147483647">
    <dxf>
      <font>
        <b/>
      </font>
    </dxf>
  </rfmt>
  <rfmt sheetId="1" sqref="F72" start="0" length="2147483647">
    <dxf>
      <font>
        <b/>
      </font>
    </dxf>
  </rfmt>
  <rfmt sheetId="1" sqref="F82" start="0" length="2147483647">
    <dxf>
      <font>
        <b/>
      </font>
    </dxf>
  </rfmt>
  <rfmt sheetId="1" sqref="F80" start="0" length="2147483647">
    <dxf>
      <font>
        <b/>
      </font>
    </dxf>
  </rfmt>
  <rfmt sheetId="1" sqref="F79" start="0" length="2147483647">
    <dxf>
      <font>
        <b/>
      </font>
    </dxf>
  </rfmt>
  <rfmt sheetId="1" sqref="F74" start="0" length="2147483647">
    <dxf>
      <font>
        <b/>
      </font>
    </dxf>
  </rfmt>
  <rfmt sheetId="1" sqref="F73" start="0" length="2147483647">
    <dxf>
      <font>
        <b/>
      </font>
    </dxf>
  </rfmt>
  <rfmt sheetId="1" sqref="F70" start="0" length="2147483647">
    <dxf>
      <font>
        <b/>
      </font>
    </dxf>
  </rfmt>
  <rfmt sheetId="1" sqref="F69" start="0" length="2147483647">
    <dxf>
      <font>
        <b/>
      </font>
    </dxf>
  </rfmt>
  <rfmt sheetId="1" sqref="F68" start="0" length="2147483647">
    <dxf>
      <font>
        <b/>
      </font>
    </dxf>
  </rfmt>
  <rfmt sheetId="1" sqref="F67" start="0" length="2147483647">
    <dxf>
      <font>
        <b/>
      </font>
    </dxf>
  </rfmt>
  <rfmt sheetId="1" sqref="F66" start="0" length="2147483647">
    <dxf>
      <font>
        <b/>
      </font>
    </dxf>
  </rfmt>
  <rfmt sheetId="1" sqref="F64" start="0" length="2147483647">
    <dxf>
      <font>
        <b/>
      </font>
    </dxf>
  </rfmt>
  <rfmt sheetId="1" sqref="F63" start="0" length="2147483647">
    <dxf>
      <font>
        <b/>
      </font>
    </dxf>
  </rfmt>
  <rfmt sheetId="1" sqref="F62" start="0" length="2147483647">
    <dxf>
      <font>
        <b/>
      </font>
    </dxf>
  </rfmt>
  <rfmt sheetId="1" sqref="F61" start="0" length="2147483647">
    <dxf>
      <font>
        <b/>
      </font>
    </dxf>
  </rfmt>
  <rfmt sheetId="1" sqref="F59" start="0" length="2147483647">
    <dxf>
      <font>
        <b/>
      </font>
    </dxf>
  </rfmt>
  <rfmt sheetId="1" sqref="F58" start="0" length="2147483647">
    <dxf>
      <font>
        <b/>
      </font>
    </dxf>
  </rfmt>
  <rfmt sheetId="1" sqref="F57" start="0" length="2147483647">
    <dxf>
      <font>
        <b/>
      </font>
    </dxf>
  </rfmt>
  <rfmt sheetId="1" sqref="F56" start="0" length="2147483647">
    <dxf>
      <font>
        <b/>
      </font>
    </dxf>
  </rfmt>
  <rfmt sheetId="1" sqref="F55" start="0" length="2147483647">
    <dxf>
      <font>
        <b/>
      </font>
    </dxf>
  </rfmt>
  <rfmt sheetId="1" sqref="F53" start="0" length="2147483647">
    <dxf>
      <font>
        <b/>
      </font>
    </dxf>
  </rfmt>
  <rfmt sheetId="1" sqref="F52" start="0" length="2147483647">
    <dxf>
      <font>
        <b/>
      </font>
    </dxf>
  </rfmt>
  <rcc rId="3192" sId="1" odxf="1" dxf="1">
    <nc r="G89">
      <f>2339489-F89</f>
    </nc>
    <odxf>
      <numFmt numFmtId="0" formatCode="General"/>
    </odxf>
    <ndxf>
      <numFmt numFmtId="3" formatCode="#,##0"/>
    </ndxf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J2" start="0" length="0">
    <dxf>
      <font>
        <sz val="11"/>
        <color rgb="FF000000"/>
        <name val="Calibri"/>
        <family val="2"/>
        <scheme val="none"/>
      </font>
      <fill>
        <patternFill patternType="solid">
          <fgColor rgb="FFFFFFFF"/>
          <bgColor rgb="FFFFFFFF"/>
        </patternFill>
      </fill>
      <alignment horizontal="center"/>
    </dxf>
  </rfmt>
  <rfmt sheetId="5" sqref="H9:H10" start="0" length="0">
    <dxf>
      <border>
        <left style="thin">
          <color indexed="64"/>
        </left>
      </border>
    </dxf>
  </rfmt>
  <rfmt sheetId="5" sqref="H9:J9" start="0" length="0">
    <dxf>
      <border>
        <top style="thin">
          <color indexed="64"/>
        </top>
      </border>
    </dxf>
  </rfmt>
  <rfmt sheetId="5" sqref="J9:J10" start="0" length="0">
    <dxf>
      <border>
        <right style="thin">
          <color indexed="64"/>
        </right>
      </border>
    </dxf>
  </rfmt>
  <rfmt sheetId="5" sqref="H10:J10" start="0" length="0">
    <dxf>
      <border>
        <bottom style="thin">
          <color indexed="64"/>
        </bottom>
      </border>
    </dxf>
  </rfmt>
  <rcmt sheetId="6" cell="B8" guid="{D9456687-7D9D-48E1-99EC-73C29321E92B}" alwaysShow="1" author="Berge, Knut Audun Monen" newLength="76"/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93" sId="6" numFmtId="4">
    <nc r="C8">
      <v>13500</v>
    </nc>
  </rcc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94" sId="3">
    <oc r="A22" t="inlineStr">
      <is>
        <t>SENTRALT - UTGIFTER 2018</t>
      </is>
    </oc>
    <nc r="A22" t="inlineStr">
      <is>
        <t>SENTRALT - UTGIFTER 2020</t>
      </is>
    </nc>
  </rcc>
  <rcc rId="3195" sId="3">
    <oc r="A1" t="inlineStr">
      <is>
        <t>SENTRALT - INNTEKTER 2018</t>
      </is>
    </oc>
    <nc r="A1" t="inlineStr">
      <is>
        <t>SENTRALT - INNTEKTER 2020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96" sId="1">
    <oc r="G89">
      <f>2339489-F89</f>
    </oc>
    <nc r="G89"/>
  </rcc>
  <rfmt sheetId="2" sqref="H84">
    <dxf>
      <numFmt numFmtId="182" formatCode="\ #,##0.0\ ;&quot; -&quot;#,##0.0\ ;&quot; - &quot;;@\ "/>
    </dxf>
  </rfmt>
  <rfmt sheetId="2" sqref="H84">
    <dxf>
      <numFmt numFmtId="167" formatCode="\ #,##0\ ;&quot; -&quot;#,##0\ ;&quot; - &quot;;@\ "/>
    </dxf>
  </rfmt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99" sId="3" numFmtId="4">
    <oc r="E93">
      <v>20000</v>
    </oc>
    <nc r="E93">
      <v>10000</v>
    </nc>
  </rcc>
  <rcc rId="3200" sId="3" numFmtId="4">
    <nc r="E94">
      <v>10000</v>
    </nc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01" sId="3" numFmtId="4">
    <oc r="E96">
      <v>50000</v>
    </oc>
    <nc r="E96">
      <v>25000</v>
    </nc>
  </rcc>
  <rcc rId="3202" sId="3" numFmtId="4">
    <nc r="C96">
      <v>25000</v>
    </nc>
  </rcc>
  <rcc rId="3203" sId="2">
    <oc r="F60">
      <f>Sentralt!F93+Sentralt!F96</f>
    </oc>
    <nc r="F60">
      <f>Sentralt!E99</f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06" sId="3">
    <oc r="A31" t="inlineStr">
      <is>
        <t>JIL</t>
      </is>
    </oc>
    <nc r="A31" t="inlineStr">
      <is>
        <t>Juniorenes inspirasjonsleir - JIL</t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00" sId="8" numFmtId="13">
    <oc r="D114">
      <v>0.75</v>
    </oc>
    <nc r="D114">
      <v>0.7</v>
    </nc>
  </rcc>
  <rfmt sheetId="8" sqref="D114">
    <dxf>
      <fill>
        <patternFill>
          <bgColor rgb="FF92D050"/>
        </patternFill>
      </fill>
    </dxf>
  </rfmt>
  <rfmt sheetId="8" sqref="D115">
    <dxf>
      <fill>
        <patternFill>
          <bgColor rgb="FF92D050"/>
        </patternFill>
      </fill>
    </dxf>
  </rfmt>
  <rcc rId="2301" sId="8" numFmtId="13">
    <oc r="D116">
      <v>0.95</v>
    </oc>
    <nc r="D116">
      <v>0.85</v>
    </nc>
  </rcc>
  <rfmt sheetId="8" sqref="D116">
    <dxf>
      <fill>
        <patternFill>
          <bgColor rgb="FF92D050"/>
        </patternFill>
      </fill>
    </dxf>
  </rfmt>
  <rfmt sheetId="8" sqref="D116" start="0" length="2147483647">
    <dxf>
      <font>
        <color auto="1"/>
      </font>
    </dxf>
  </rfmt>
  <rcc rId="2302" sId="8" numFmtId="13">
    <oc r="D117">
      <v>0.75</v>
    </oc>
    <nc r="D117">
      <v>0.5</v>
    </nc>
  </rcc>
  <rfmt sheetId="8" sqref="D117">
    <dxf>
      <fill>
        <patternFill>
          <bgColor rgb="FF92D050"/>
        </patternFill>
      </fill>
    </dxf>
  </rfmt>
  <rcc rId="2303" sId="8" numFmtId="13">
    <oc r="D118">
      <f>80%</f>
    </oc>
    <nc r="D118">
      <v>0</v>
    </nc>
  </rcc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07" sId="7" numFmtId="4">
    <oc r="B12">
      <f>-Program!H17-Program!H53</f>
    </oc>
    <nc r="B12">
      <v>0</v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0" sId="7">
    <oc r="B14">
      <f>0.25*Budsjett_enkel!C86</f>
    </oc>
    <nc r="B14">
      <v>0</v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" sId="3">
    <oc r="B64">
      <f>B19*0.9</f>
    </oc>
    <nc r="B64">
      <f>B19</f>
    </nc>
  </rcc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6" cell="B8" guid="{00000000-0000-0000-0000-000000000000}" action="delete" alwaysShow="1" author="Berge, Knut Audun Monen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" sId="8">
    <nc r="G1" t="inlineStr">
      <is>
        <t>Utregninger -&gt;</t>
      </is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dn rId="0" localSheetId="8" customView="1" name="Z_845F3A43_EF96_4057_9777_D2F2301CC149_.wvu.Cols" hidden="1" oldHidden="1">
    <formula>'Oversikt Variabler'!$H:$L</formula>
  </rdn>
  <rcv guid="{845F3A43-EF96-4057-9777-D2F2301CC149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" sId="3" numFmtId="4">
    <oc r="B46">
      <v>65000</v>
    </oc>
    <nc r="B46">
      <v>70</v>
    </nc>
  </rcc>
  <rcc rId="3219" sId="3" numFmtId="4">
    <oc r="B47">
      <v>130000</v>
    </oc>
    <nc r="B47">
      <v>100000</v>
    </nc>
  </rcc>
  <rcv guid="{845F3A43-EF96-4057-9777-D2F2301CC149}" action="delete"/>
  <rdn rId="0" localSheetId="2" customView="1" name="Z_845F3A43_EF96_4057_9777_D2F2301CC149_.wvu.Cols" hidden="1" oldHidden="1">
    <formula>Budsjett_enkel!$D:$E,Budsjett_enkel!$G:$G,Budsjett_enkel!$I:$I,Budsjett_enkel!$K:$K,Budsjett_enkel!$M:$M</formula>
    <oldFormula>Budsjett_enkel!$D:$E,Budsjett_enkel!$G:$G,Budsjett_enkel!$I:$I,Budsjett_enkel!$K:$K,Budsjett_enkel!$M:$M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dn rId="0" localSheetId="8" customView="1" name="Z_845F3A43_EF96_4057_9777_D2F2301CC149_.wvu.Cols" hidden="1" oldHidden="1">
    <formula>'Oversikt Variabler'!$H:$L</formula>
    <oldFormula>'Oversikt Variabler'!$H:$L</oldFormula>
  </rdn>
  <rcv guid="{845F3A43-EF96-4057-9777-D2F2301CC149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3" sId="3" numFmtId="4">
    <oc r="B46">
      <v>70</v>
    </oc>
    <nc r="B46">
      <v>70000</v>
    </nc>
  </rcc>
  <rdn rId="0" localSheetId="2" customView="1" name="Z_106B7A88_9D1E_4D22_9DE1_7E44A908E830_.wvu.Cols" hidden="1" oldHidden="1">
    <formula>Budsjett_enkel!$D:$E,Budsjett_enkel!$G:$G,Budsjett_enkel!$I:$I,Budsjett_enkel!$K:$K,Budsjett_enkel!$M:$M</formula>
  </rdn>
  <rdn rId="0" localSheetId="5" customView="1" name="Z_106B7A88_9D1E_4D22_9DE1_7E44A908E830_.wvu.Cols" hidden="1" oldHidden="1">
    <formula>'Oversikt Pris'!$N:$N</formula>
  </rdn>
  <rdn rId="0" localSheetId="8" customView="1" name="Z_106B7A88_9D1E_4D22_9DE1_7E44A908E830_.wvu.Cols" hidden="1" oldHidden="1">
    <formula>'Oversikt Variabler'!$H:$L</formula>
  </rdn>
  <rcv guid="{106B7A88-9D1E-4D22-9DE1-7E44A908E830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2948F0AA-8A7F-4230-A115-0711F2026AC4}" name="Berge, Knut Audun Monen" id="-1876870540" dateTime="2019-10-29T20:52:21"/>
</user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comments" Target="../comments8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comments" Target="../comments9.xml"/><Relationship Id="rId5" Type="http://schemas.openxmlformats.org/officeDocument/2006/relationships/vmlDrawing" Target="../drawings/vmlDrawing9.vml"/><Relationship Id="rId4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2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4.xml"/><Relationship Id="rId3" Type="http://schemas.openxmlformats.org/officeDocument/2006/relationships/printerSettings" Target="../printerSettings/printerSettings17.bin"/><Relationship Id="rId7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printerSettings" Target="../printerSettings/printerSettings22.bin"/><Relationship Id="rId7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printerSettings" Target="../printerSettings/printerSettings35.bin"/><Relationship Id="rId7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017"/>
  <sheetViews>
    <sheetView showGridLines="0" zoomScale="130" zoomScaleNormal="130" workbookViewId="0">
      <pane ySplit="1" topLeftCell="A50" activePane="bottomLeft" state="frozen"/>
      <selection pane="bottomLeft" activeCell="F58" sqref="F58"/>
    </sheetView>
  </sheetViews>
  <sheetFormatPr baseColWidth="10" defaultColWidth="17.26953125" defaultRowHeight="15" customHeight="1" x14ac:dyDescent="0.25"/>
  <cols>
    <col min="1" max="1" width="21.453125" customWidth="1"/>
    <col min="2" max="2" width="43.54296875" style="320" bestFit="1" customWidth="1"/>
    <col min="3" max="3" width="13.26953125" style="320" bestFit="1" customWidth="1"/>
    <col min="4" max="4" width="13.453125" style="320" customWidth="1"/>
    <col min="5" max="5" width="14" style="338" customWidth="1"/>
    <col min="6" max="6" width="14.1796875" style="338" bestFit="1" customWidth="1"/>
    <col min="7" max="16" width="12.54296875" customWidth="1"/>
    <col min="17" max="23" width="10" customWidth="1"/>
  </cols>
  <sheetData>
    <row r="1" spans="1:23" ht="29" x14ac:dyDescent="0.35">
      <c r="A1" s="661" t="s">
        <v>757</v>
      </c>
      <c r="B1" s="662"/>
      <c r="C1" s="316" t="s">
        <v>755</v>
      </c>
      <c r="D1" s="528" t="s">
        <v>756</v>
      </c>
      <c r="E1" s="507" t="s">
        <v>758</v>
      </c>
      <c r="F1" s="484" t="s">
        <v>672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</row>
    <row r="2" spans="1:23" ht="29" x14ac:dyDescent="0.35">
      <c r="A2" s="663" t="s">
        <v>680</v>
      </c>
      <c r="B2" s="664"/>
      <c r="C2" s="316" t="s">
        <v>755</v>
      </c>
      <c r="D2" s="528" t="s">
        <v>756</v>
      </c>
      <c r="E2" s="462" t="s">
        <v>566</v>
      </c>
      <c r="F2" s="484" t="s">
        <v>672</v>
      </c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</row>
    <row r="3" spans="1:23" ht="14.5" x14ac:dyDescent="0.35">
      <c r="A3" s="257">
        <v>3050</v>
      </c>
      <c r="B3" s="257" t="s">
        <v>0</v>
      </c>
      <c r="C3" s="289">
        <f>Budsjett_enkel!C4</f>
        <v>348200</v>
      </c>
      <c r="D3" s="500">
        <v>375000</v>
      </c>
      <c r="E3" s="469">
        <f>C3-D3</f>
        <v>-26800</v>
      </c>
      <c r="F3" s="485">
        <v>334765</v>
      </c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</row>
    <row r="4" spans="1:23" ht="14.5" x14ac:dyDescent="0.35">
      <c r="A4" s="257">
        <v>3110</v>
      </c>
      <c r="B4" s="257" t="s">
        <v>1</v>
      </c>
      <c r="C4" s="289">
        <f>Budsjett_enkel!C5</f>
        <v>76990.035000000003</v>
      </c>
      <c r="D4" s="500">
        <v>159629</v>
      </c>
      <c r="E4" s="469">
        <f t="shared" ref="E4:E22" si="0">C4-D4</f>
        <v>-82638.964999999997</v>
      </c>
      <c r="F4" s="485">
        <v>86008</v>
      </c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</row>
    <row r="5" spans="1:23" s="301" customFormat="1" ht="14.5" x14ac:dyDescent="0.35">
      <c r="A5" s="257">
        <v>3115</v>
      </c>
      <c r="B5" s="257" t="s">
        <v>138</v>
      </c>
      <c r="C5" s="289">
        <f>Budsjett_enkel!C6</f>
        <v>358627.5</v>
      </c>
      <c r="D5" s="500">
        <v>322920</v>
      </c>
      <c r="E5" s="469">
        <f t="shared" si="0"/>
        <v>35707.5</v>
      </c>
      <c r="F5" s="485">
        <v>291850</v>
      </c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</row>
    <row r="6" spans="1:23" ht="14.5" x14ac:dyDescent="0.35">
      <c r="A6" s="331" t="s">
        <v>2</v>
      </c>
      <c r="B6" s="257"/>
      <c r="C6" s="318">
        <f>SUM(C3:C5)</f>
        <v>783817.53500000003</v>
      </c>
      <c r="D6" s="501">
        <f>SUM(D3:D5)</f>
        <v>857549</v>
      </c>
      <c r="E6" s="469">
        <f t="shared" si="0"/>
        <v>-73731.464999999967</v>
      </c>
      <c r="F6" s="486">
        <f>SUM(F3:F5)</f>
        <v>712623</v>
      </c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</row>
    <row r="7" spans="1:23" ht="14.5" x14ac:dyDescent="0.35">
      <c r="A7" s="331"/>
      <c r="B7" s="257"/>
      <c r="C7" s="289"/>
      <c r="D7" s="517"/>
      <c r="E7" s="469"/>
      <c r="F7" s="472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</row>
    <row r="8" spans="1:23" ht="14.5" x14ac:dyDescent="0.35">
      <c r="A8" s="257">
        <v>3900</v>
      </c>
      <c r="B8" s="257" t="s">
        <v>3</v>
      </c>
      <c r="C8" s="289">
        <f>Budsjett_enkel!C10</f>
        <v>400240</v>
      </c>
      <c r="D8" s="500">
        <v>375810</v>
      </c>
      <c r="E8" s="469">
        <f t="shared" si="0"/>
        <v>24430</v>
      </c>
      <c r="F8" s="485">
        <v>780480</v>
      </c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3" ht="14.5" x14ac:dyDescent="0.35">
      <c r="A9" s="257">
        <v>3901</v>
      </c>
      <c r="B9" s="257" t="s">
        <v>4</v>
      </c>
      <c r="C9" s="289">
        <f>Budsjett_enkel!C11</f>
        <v>515000</v>
      </c>
      <c r="D9" s="500">
        <v>490000</v>
      </c>
      <c r="E9" s="469">
        <f t="shared" si="0"/>
        <v>25000</v>
      </c>
      <c r="F9" s="485">
        <v>516206</v>
      </c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</row>
    <row r="10" spans="1:23" s="178" customFormat="1" ht="14.5" x14ac:dyDescent="0.35">
      <c r="A10" s="323">
        <v>3902</v>
      </c>
      <c r="B10" s="323" t="s">
        <v>5</v>
      </c>
      <c r="C10" s="289">
        <f>Budsjett_enkel!C12</f>
        <v>639391.37931034481</v>
      </c>
      <c r="D10" s="500">
        <v>734708</v>
      </c>
      <c r="E10" s="469">
        <f t="shared" si="0"/>
        <v>-95316.620689655188</v>
      </c>
      <c r="F10" s="485">
        <v>475808</v>
      </c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</row>
    <row r="11" spans="1:23" s="482" customFormat="1" ht="14.5" x14ac:dyDescent="0.35">
      <c r="A11" s="323">
        <v>3903</v>
      </c>
      <c r="B11" s="323" t="s">
        <v>671</v>
      </c>
      <c r="C11" s="466"/>
      <c r="D11" s="502"/>
      <c r="E11" s="469">
        <f t="shared" si="0"/>
        <v>0</v>
      </c>
      <c r="F11" s="485">
        <v>8269</v>
      </c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</row>
    <row r="12" spans="1:23" ht="14.5" x14ac:dyDescent="0.35">
      <c r="A12" s="332">
        <v>3910</v>
      </c>
      <c r="B12" s="324" t="s">
        <v>576</v>
      </c>
      <c r="C12" s="289">
        <f>Budsjett_enkel!C13</f>
        <v>1321000</v>
      </c>
      <c r="D12" s="500">
        <v>1334472</v>
      </c>
      <c r="E12" s="469">
        <f t="shared" si="0"/>
        <v>-13472</v>
      </c>
      <c r="F12" s="485">
        <v>1258399</v>
      </c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</row>
    <row r="13" spans="1:23" s="301" customFormat="1" ht="15" customHeight="1" x14ac:dyDescent="0.35">
      <c r="A13" s="332">
        <v>3915</v>
      </c>
      <c r="B13" s="358" t="s">
        <v>577</v>
      </c>
      <c r="C13" s="289">
        <f>Budsjett_enkel!C14</f>
        <v>800000</v>
      </c>
      <c r="D13" s="500">
        <v>800000</v>
      </c>
      <c r="E13" s="469">
        <f t="shared" si="0"/>
        <v>0</v>
      </c>
      <c r="F13" s="485">
        <v>746796</v>
      </c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</row>
    <row r="14" spans="1:23" ht="14.5" x14ac:dyDescent="0.35">
      <c r="A14" s="257">
        <v>3922</v>
      </c>
      <c r="B14" s="257" t="s">
        <v>6</v>
      </c>
      <c r="C14" s="289">
        <f>Budsjett_enkel!C15</f>
        <v>1845185.6662499998</v>
      </c>
      <c r="D14" s="500">
        <v>1543895</v>
      </c>
      <c r="E14" s="469">
        <f t="shared" si="0"/>
        <v>301290.66624999978</v>
      </c>
      <c r="F14" s="485">
        <v>1560942</v>
      </c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</row>
    <row r="15" spans="1:23" ht="14.5" x14ac:dyDescent="0.35">
      <c r="A15" s="257">
        <v>3927</v>
      </c>
      <c r="B15" s="257" t="s">
        <v>7</v>
      </c>
      <c r="C15" s="289">
        <f>Budsjett_enkel!C16</f>
        <v>480000</v>
      </c>
      <c r="D15" s="500">
        <v>470000</v>
      </c>
      <c r="E15" s="469">
        <f t="shared" si="0"/>
        <v>10000</v>
      </c>
      <c r="F15" s="485">
        <v>461175</v>
      </c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</row>
    <row r="16" spans="1:23" ht="14.5" x14ac:dyDescent="0.35">
      <c r="A16" s="257">
        <v>3930</v>
      </c>
      <c r="B16" s="257" t="s">
        <v>8</v>
      </c>
      <c r="C16" s="289">
        <f>Budsjett_enkel!C17</f>
        <v>150000</v>
      </c>
      <c r="D16" s="500">
        <v>150000</v>
      </c>
      <c r="E16" s="469">
        <f t="shared" si="0"/>
        <v>0</v>
      </c>
      <c r="F16" s="485">
        <v>120000</v>
      </c>
      <c r="G16" s="217"/>
      <c r="H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</row>
    <row r="17" spans="1:23" ht="14.5" x14ac:dyDescent="0.35">
      <c r="A17" s="257">
        <v>3950</v>
      </c>
      <c r="B17" s="257" t="s">
        <v>9</v>
      </c>
      <c r="C17" s="289">
        <f>Budsjett_enkel!C18</f>
        <v>150000</v>
      </c>
      <c r="D17" s="500">
        <v>162500</v>
      </c>
      <c r="E17" s="469">
        <f t="shared" si="0"/>
        <v>-12500</v>
      </c>
      <c r="F17" s="485">
        <v>140350</v>
      </c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</row>
    <row r="18" spans="1:23" s="351" customFormat="1" ht="14.5" x14ac:dyDescent="0.35">
      <c r="A18" s="257">
        <v>3960</v>
      </c>
      <c r="B18" s="257" t="s">
        <v>579</v>
      </c>
      <c r="C18" s="289">
        <f>Budsjett_enkel!C19</f>
        <v>0</v>
      </c>
      <c r="D18" s="500">
        <v>0</v>
      </c>
      <c r="E18" s="469">
        <f t="shared" si="0"/>
        <v>0</v>
      </c>
      <c r="F18" s="485">
        <v>155</v>
      </c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</row>
    <row r="19" spans="1:23" s="301" customFormat="1" ht="14.5" x14ac:dyDescent="0.35">
      <c r="A19" s="333">
        <v>3970</v>
      </c>
      <c r="B19" s="325" t="s">
        <v>222</v>
      </c>
      <c r="C19" s="289">
        <f>Budsjett_enkel!C20</f>
        <v>2000</v>
      </c>
      <c r="D19" s="500">
        <v>2000</v>
      </c>
      <c r="E19" s="469">
        <f t="shared" si="0"/>
        <v>0</v>
      </c>
      <c r="F19" s="485">
        <v>1500</v>
      </c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</row>
    <row r="20" spans="1:23" s="482" customFormat="1" ht="14.5" x14ac:dyDescent="0.35">
      <c r="A20" s="333">
        <v>3975</v>
      </c>
      <c r="B20" s="325" t="s">
        <v>48</v>
      </c>
      <c r="C20" s="466"/>
      <c r="D20" s="518"/>
      <c r="E20" s="469">
        <f t="shared" si="0"/>
        <v>0</v>
      </c>
      <c r="F20" s="485">
        <v>98</v>
      </c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</row>
    <row r="21" spans="1:23" ht="14.5" x14ac:dyDescent="0.35">
      <c r="A21" s="331" t="s">
        <v>10</v>
      </c>
      <c r="B21" s="257"/>
      <c r="C21" s="508">
        <f>SUM(C8:C19)</f>
        <v>6302817.0455603451</v>
      </c>
      <c r="D21" s="519">
        <f>SUM(D8:D19)</f>
        <v>6063385</v>
      </c>
      <c r="E21" s="469">
        <f t="shared" si="0"/>
        <v>239432.04556034505</v>
      </c>
      <c r="F21" s="485">
        <f>SUM(F8:F20)</f>
        <v>6070178</v>
      </c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</row>
    <row r="22" spans="1:23" ht="14.5" x14ac:dyDescent="0.35">
      <c r="A22" s="317" t="s">
        <v>11</v>
      </c>
      <c r="B22" s="326"/>
      <c r="C22" s="319">
        <f>C21+C6</f>
        <v>7086634.5805603452</v>
      </c>
      <c r="D22" s="520">
        <f>D21+D6</f>
        <v>6920934</v>
      </c>
      <c r="E22" s="469">
        <f t="shared" si="0"/>
        <v>165700.5805603452</v>
      </c>
      <c r="F22" s="485">
        <f>F6+F21</f>
        <v>6782801</v>
      </c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</row>
    <row r="23" spans="1:23" ht="14.5" x14ac:dyDescent="0.35">
      <c r="A23" s="257"/>
      <c r="B23" s="257"/>
      <c r="C23" s="289"/>
      <c r="D23" s="521"/>
      <c r="E23" s="461"/>
      <c r="F23" s="485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</row>
    <row r="24" spans="1:23" ht="29" x14ac:dyDescent="0.35">
      <c r="A24" s="665" t="s">
        <v>678</v>
      </c>
      <c r="B24" s="666"/>
      <c r="C24" s="316" t="s">
        <v>755</v>
      </c>
      <c r="D24" s="528" t="s">
        <v>756</v>
      </c>
      <c r="E24" s="462" t="s">
        <v>566</v>
      </c>
      <c r="F24" s="498" t="s">
        <v>672</v>
      </c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</row>
    <row r="25" spans="1:23" ht="14.5" x14ac:dyDescent="0.35">
      <c r="A25" s="257">
        <f>Budsjett_enkel!A25</f>
        <v>4010</v>
      </c>
      <c r="B25" s="257" t="s">
        <v>12</v>
      </c>
      <c r="C25" s="289">
        <f>Budsjett_enkel!C25</f>
        <v>310000</v>
      </c>
      <c r="D25" s="500">
        <v>375000</v>
      </c>
      <c r="E25" s="499">
        <f t="shared" ref="E25:E88" si="1">C25-D25</f>
        <v>-65000</v>
      </c>
      <c r="F25" s="485">
        <v>375104</v>
      </c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3" ht="14.5" x14ac:dyDescent="0.35">
      <c r="A26" s="257">
        <f>Budsjett_enkel!A26</f>
        <v>4610</v>
      </c>
      <c r="B26" s="257" t="s">
        <v>13</v>
      </c>
      <c r="C26" s="289">
        <f>Budsjett_enkel!C26</f>
        <v>725000</v>
      </c>
      <c r="D26" s="500">
        <v>749000</v>
      </c>
      <c r="E26" s="499">
        <f t="shared" si="1"/>
        <v>-24000</v>
      </c>
      <c r="F26" s="485">
        <v>1020000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3" ht="14.5" x14ac:dyDescent="0.35">
      <c r="A27" s="257">
        <f>Budsjett_enkel!A27</f>
        <v>4615</v>
      </c>
      <c r="B27" s="257" t="s">
        <v>14</v>
      </c>
      <c r="C27" s="289">
        <f>Budsjett_enkel!C27</f>
        <v>0</v>
      </c>
      <c r="D27" s="518">
        <v>0</v>
      </c>
      <c r="E27" s="499">
        <f t="shared" si="1"/>
        <v>0</v>
      </c>
      <c r="F27" s="485">
        <v>23492</v>
      </c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3" ht="14.5" x14ac:dyDescent="0.35">
      <c r="A28" s="257">
        <f>Budsjett_enkel!A28</f>
        <v>4922</v>
      </c>
      <c r="B28" s="257" t="s">
        <v>6</v>
      </c>
      <c r="C28" s="289">
        <f>Budsjett_enkel!C28</f>
        <v>1147054.2462499996</v>
      </c>
      <c r="D28" s="500">
        <v>870519</v>
      </c>
      <c r="E28" s="499">
        <f t="shared" si="1"/>
        <v>276535.24624999962</v>
      </c>
      <c r="F28" s="485">
        <v>600323</v>
      </c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3" ht="14.5" x14ac:dyDescent="0.35">
      <c r="A29" s="257">
        <f>Budsjett_enkel!A29</f>
        <v>4927</v>
      </c>
      <c r="B29" s="257" t="s">
        <v>7</v>
      </c>
      <c r="C29" s="289">
        <f>Budsjett_enkel!C29</f>
        <v>456000</v>
      </c>
      <c r="D29" s="500">
        <v>446500</v>
      </c>
      <c r="E29" s="499">
        <f t="shared" si="1"/>
        <v>9500</v>
      </c>
      <c r="F29" s="485">
        <v>438551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3" ht="14.5" x14ac:dyDescent="0.35">
      <c r="A30" s="257">
        <f>Budsjett_enkel!A30</f>
        <v>4928</v>
      </c>
      <c r="B30" s="257" t="s">
        <v>15</v>
      </c>
      <c r="C30" s="289">
        <f>Budsjett_enkel!C30</f>
        <v>324450</v>
      </c>
      <c r="D30" s="500">
        <v>318500</v>
      </c>
      <c r="E30" s="499">
        <f t="shared" si="1"/>
        <v>5950</v>
      </c>
      <c r="F30" s="485">
        <v>322417</v>
      </c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</row>
    <row r="31" spans="1:23" ht="14.5" x14ac:dyDescent="0.35">
      <c r="A31" s="257">
        <f>Budsjett_enkel!A31</f>
        <v>4929</v>
      </c>
      <c r="B31" s="257" t="s">
        <v>16</v>
      </c>
      <c r="C31" s="289">
        <f>Budsjett_enkel!C31</f>
        <v>150000</v>
      </c>
      <c r="D31" s="500">
        <v>162500</v>
      </c>
      <c r="E31" s="499">
        <f t="shared" si="1"/>
        <v>-12500</v>
      </c>
      <c r="F31" s="485">
        <v>140350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</row>
    <row r="32" spans="1:23" ht="14.5" x14ac:dyDescent="0.35">
      <c r="A32" s="257">
        <f>Budsjett_enkel!A32</f>
        <v>4930</v>
      </c>
      <c r="B32" s="257" t="s">
        <v>17</v>
      </c>
      <c r="C32" s="289">
        <f>Budsjett_enkel!C32</f>
        <v>140000</v>
      </c>
      <c r="D32" s="500">
        <v>140000</v>
      </c>
      <c r="E32" s="499">
        <f t="shared" si="1"/>
        <v>0</v>
      </c>
      <c r="F32" s="485">
        <v>91341</v>
      </c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</row>
    <row r="33" spans="1:23" ht="14.5" x14ac:dyDescent="0.35">
      <c r="A33" s="331" t="s">
        <v>18</v>
      </c>
      <c r="B33" s="257"/>
      <c r="C33" s="318">
        <f t="shared" ref="C33:D33" si="2">SUM(C25:C32)</f>
        <v>3252504.2462499999</v>
      </c>
      <c r="D33" s="522">
        <f t="shared" si="2"/>
        <v>3062019</v>
      </c>
      <c r="E33" s="499">
        <f t="shared" si="1"/>
        <v>190485.24624999985</v>
      </c>
      <c r="F33" s="487">
        <f>SUM(F25:F32)</f>
        <v>3011578</v>
      </c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</row>
    <row r="34" spans="1:23" ht="14.5" x14ac:dyDescent="0.35">
      <c r="A34" s="331"/>
      <c r="B34" s="257"/>
      <c r="C34" s="289"/>
      <c r="D34" s="503"/>
      <c r="E34" s="499">
        <f t="shared" si="1"/>
        <v>0</v>
      </c>
      <c r="F34" s="472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</row>
    <row r="35" spans="1:23" ht="14.5" x14ac:dyDescent="0.35">
      <c r="A35" s="257">
        <f>Budsjett_enkel!A34</f>
        <v>5000</v>
      </c>
      <c r="B35" s="257" t="s">
        <v>19</v>
      </c>
      <c r="C35" s="466">
        <f>Budsjett_enkel!C34</f>
        <v>840112.77919999999</v>
      </c>
      <c r="D35" s="500">
        <v>594603</v>
      </c>
      <c r="E35" s="499">
        <f t="shared" si="1"/>
        <v>245509.77919999999</v>
      </c>
      <c r="F35" s="485">
        <v>438401</v>
      </c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</row>
    <row r="36" spans="1:23" ht="14.5" x14ac:dyDescent="0.35">
      <c r="A36" s="257">
        <f>Budsjett_enkel!A35</f>
        <v>5001</v>
      </c>
      <c r="B36" s="257" t="s">
        <v>20</v>
      </c>
      <c r="C36" s="466">
        <f>Budsjett_enkel!C35</f>
        <v>0</v>
      </c>
      <c r="D36" s="503">
        <v>0</v>
      </c>
      <c r="E36" s="499">
        <f t="shared" si="1"/>
        <v>0</v>
      </c>
      <c r="F36" s="485">
        <v>0</v>
      </c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</row>
    <row r="37" spans="1:23" s="632" customFormat="1" ht="14.5" x14ac:dyDescent="0.35">
      <c r="A37" s="257">
        <v>5002</v>
      </c>
      <c r="B37" s="257" t="s">
        <v>759</v>
      </c>
      <c r="C37" s="466"/>
      <c r="D37" s="521">
        <v>105000</v>
      </c>
      <c r="E37" s="647"/>
      <c r="F37" s="656">
        <v>212623</v>
      </c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</row>
    <row r="38" spans="1:23" ht="14.5" x14ac:dyDescent="0.35">
      <c r="A38" s="257">
        <f>Budsjett_enkel!A36</f>
        <v>5010</v>
      </c>
      <c r="B38" s="257" t="s">
        <v>21</v>
      </c>
      <c r="C38" s="466">
        <f>Budsjett_enkel!C36</f>
        <v>0</v>
      </c>
      <c r="D38" s="500"/>
      <c r="E38" s="499">
        <f t="shared" si="1"/>
        <v>0</v>
      </c>
      <c r="F38" s="472">
        <v>0</v>
      </c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</row>
    <row r="39" spans="1:23" ht="14.5" x14ac:dyDescent="0.35">
      <c r="A39" s="257">
        <f>Budsjett_enkel!A37</f>
        <v>5020</v>
      </c>
      <c r="B39" s="257" t="s">
        <v>22</v>
      </c>
      <c r="C39" s="466">
        <f>Budsjett_enkel!C37</f>
        <v>100813.53350399999</v>
      </c>
      <c r="D39" s="500">
        <v>71352</v>
      </c>
      <c r="E39" s="499">
        <f t="shared" si="1"/>
        <v>29461.533503999992</v>
      </c>
      <c r="F39" s="485">
        <v>52608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</row>
    <row r="40" spans="1:23" ht="14.5" x14ac:dyDescent="0.35">
      <c r="A40" s="257">
        <f>Budsjett_enkel!A38</f>
        <v>5240</v>
      </c>
      <c r="B40" s="257" t="s">
        <v>23</v>
      </c>
      <c r="C40" s="466">
        <f>Budsjett_enkel!C38</f>
        <v>0</v>
      </c>
      <c r="D40" s="648">
        <v>0</v>
      </c>
      <c r="E40" s="499">
        <f t="shared" si="1"/>
        <v>0</v>
      </c>
      <c r="F40" s="472">
        <v>0</v>
      </c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</row>
    <row r="41" spans="1:23" ht="14.5" x14ac:dyDescent="0.35">
      <c r="A41" s="257">
        <f>Budsjett_enkel!A39</f>
        <v>5280</v>
      </c>
      <c r="B41" s="257" t="s">
        <v>24</v>
      </c>
      <c r="C41" s="466">
        <f>Budsjett_enkel!C39</f>
        <v>0</v>
      </c>
      <c r="D41" s="648">
        <v>0</v>
      </c>
      <c r="E41" s="499">
        <f t="shared" si="1"/>
        <v>0</v>
      </c>
      <c r="F41" s="472">
        <v>0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</row>
    <row r="42" spans="1:23" ht="14.5" x14ac:dyDescent="0.35">
      <c r="A42" s="257">
        <f>Budsjett_enkel!A40</f>
        <v>5400</v>
      </c>
      <c r="B42" s="257" t="s">
        <v>25</v>
      </c>
      <c r="C42" s="466">
        <f>Budsjett_enkel!C40</f>
        <v>124378.69696055999</v>
      </c>
      <c r="D42" s="500">
        <v>85516</v>
      </c>
      <c r="E42" s="499">
        <f t="shared" si="1"/>
        <v>38862.696960559988</v>
      </c>
      <c r="F42" s="485">
        <v>69576</v>
      </c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</row>
    <row r="43" spans="1:23" ht="14.5" x14ac:dyDescent="0.35">
      <c r="A43" s="257">
        <f>Budsjett_enkel!A41</f>
        <v>5411</v>
      </c>
      <c r="B43" s="257" t="s">
        <v>26</v>
      </c>
      <c r="C43" s="466">
        <f>Budsjett_enkel!C41</f>
        <v>14214.708224063997</v>
      </c>
      <c r="D43" s="500">
        <v>10061</v>
      </c>
      <c r="E43" s="499">
        <f t="shared" si="1"/>
        <v>4153.7082240639975</v>
      </c>
      <c r="F43" s="485">
        <v>7418</v>
      </c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s="178" customFormat="1" ht="14.5" x14ac:dyDescent="0.35">
      <c r="A44" s="257">
        <v>5420</v>
      </c>
      <c r="B44" s="257" t="s">
        <v>27</v>
      </c>
      <c r="C44" s="466">
        <f>Budsjett_enkel!C42</f>
        <v>42005.638960000011</v>
      </c>
      <c r="D44" s="500">
        <v>11892</v>
      </c>
      <c r="E44" s="499">
        <f t="shared" si="1"/>
        <v>30113.638960000011</v>
      </c>
      <c r="F44" s="485">
        <v>23362</v>
      </c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</row>
    <row r="45" spans="1:23" s="482" customFormat="1" ht="14.5" x14ac:dyDescent="0.35">
      <c r="A45" s="257">
        <v>5800</v>
      </c>
      <c r="B45" s="257" t="s">
        <v>673</v>
      </c>
      <c r="C45" s="466"/>
      <c r="D45" s="648"/>
      <c r="E45" s="499">
        <f t="shared" si="1"/>
        <v>0</v>
      </c>
      <c r="F45" s="485">
        <v>-1679</v>
      </c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</row>
    <row r="46" spans="1:23" s="482" customFormat="1" ht="14.5" x14ac:dyDescent="0.35">
      <c r="A46" s="257">
        <v>5820</v>
      </c>
      <c r="B46" s="23" t="s">
        <v>674</v>
      </c>
      <c r="C46" s="466"/>
      <c r="D46" s="648"/>
      <c r="E46" s="499">
        <f t="shared" si="1"/>
        <v>0</v>
      </c>
      <c r="F46" s="485">
        <v>-237</v>
      </c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</row>
    <row r="47" spans="1:23" s="301" customFormat="1" ht="14.5" x14ac:dyDescent="0.35">
      <c r="A47" s="257">
        <v>5930</v>
      </c>
      <c r="B47" s="257" t="s">
        <v>675</v>
      </c>
      <c r="C47" s="466"/>
      <c r="D47" s="648"/>
      <c r="E47" s="499">
        <f t="shared" si="1"/>
        <v>0</v>
      </c>
      <c r="F47" s="485">
        <v>10018</v>
      </c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</row>
    <row r="48" spans="1:23" ht="14.5" x14ac:dyDescent="0.35">
      <c r="A48" s="257">
        <f>Budsjett_enkel!A44</f>
        <v>5950</v>
      </c>
      <c r="B48" s="257" t="s">
        <v>28</v>
      </c>
      <c r="C48" s="466">
        <f>Budsjett_enkel!C44</f>
        <v>3000</v>
      </c>
      <c r="D48" s="500">
        <v>3000</v>
      </c>
      <c r="E48" s="499">
        <f t="shared" si="1"/>
        <v>0</v>
      </c>
      <c r="F48" s="485">
        <v>1735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</row>
    <row r="49" spans="1:23" ht="14.5" x14ac:dyDescent="0.35">
      <c r="A49" s="257">
        <f>Budsjett_enkel!A45</f>
        <v>5999</v>
      </c>
      <c r="B49" s="257" t="s">
        <v>30</v>
      </c>
      <c r="C49" s="466">
        <f>Budsjett_enkel!C45</f>
        <v>0</v>
      </c>
      <c r="D49" s="649">
        <v>0</v>
      </c>
      <c r="E49" s="499">
        <f t="shared" si="1"/>
        <v>0</v>
      </c>
      <c r="F49" s="488">
        <v>0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</row>
    <row r="50" spans="1:23" ht="14.5" x14ac:dyDescent="0.35">
      <c r="A50" s="331" t="s">
        <v>31</v>
      </c>
      <c r="B50" s="257"/>
      <c r="C50" s="318">
        <f>SUM(C35:C49)</f>
        <v>1124525.3568486241</v>
      </c>
      <c r="D50" s="522">
        <f>SUM(D35:D49)</f>
        <v>881424</v>
      </c>
      <c r="E50" s="469">
        <f t="shared" si="1"/>
        <v>243101.35684862407</v>
      </c>
      <c r="F50" s="487">
        <f>SUM(F35:F49)</f>
        <v>813825</v>
      </c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</row>
    <row r="51" spans="1:23" ht="14.5" x14ac:dyDescent="0.35">
      <c r="A51" s="257"/>
      <c r="B51" s="257"/>
      <c r="C51" s="466"/>
      <c r="D51" s="521" t="s">
        <v>32</v>
      </c>
      <c r="E51" s="468"/>
      <c r="F51" s="515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</row>
    <row r="52" spans="1:23" ht="14.5" x14ac:dyDescent="0.35">
      <c r="A52" s="257">
        <v>6300</v>
      </c>
      <c r="B52" s="257" t="s">
        <v>33</v>
      </c>
      <c r="C52" s="289">
        <f>Budsjett_enkel!C47</f>
        <v>200000</v>
      </c>
      <c r="D52" s="503">
        <v>200000</v>
      </c>
      <c r="E52" s="470">
        <f t="shared" si="1"/>
        <v>0</v>
      </c>
      <c r="F52" s="655">
        <v>223094</v>
      </c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</row>
    <row r="53" spans="1:23" ht="14.5" x14ac:dyDescent="0.35">
      <c r="A53" s="257">
        <v>6301</v>
      </c>
      <c r="B53" s="257" t="s">
        <v>34</v>
      </c>
      <c r="C53" s="289">
        <f>Budsjett_enkel!C48</f>
        <v>156590.75</v>
      </c>
      <c r="D53" s="503">
        <v>10000</v>
      </c>
      <c r="E53" s="469">
        <f t="shared" si="1"/>
        <v>146590.75</v>
      </c>
      <c r="F53" s="655">
        <v>186663</v>
      </c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</row>
    <row r="54" spans="1:23" ht="14.5" x14ac:dyDescent="0.35">
      <c r="A54" s="257">
        <v>6340</v>
      </c>
      <c r="B54" s="257" t="s">
        <v>35</v>
      </c>
      <c r="C54" s="289">
        <f>Budsjett_enkel!C49</f>
        <v>0</v>
      </c>
      <c r="D54" s="503">
        <v>0</v>
      </c>
      <c r="E54" s="469">
        <f t="shared" si="1"/>
        <v>0</v>
      </c>
      <c r="F54" s="485">
        <v>0</v>
      </c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</row>
    <row r="55" spans="1:23" ht="14.5" x14ac:dyDescent="0.35">
      <c r="A55" s="257">
        <v>6430</v>
      </c>
      <c r="B55" s="257" t="s">
        <v>36</v>
      </c>
      <c r="C55" s="289">
        <f>Budsjett_enkel!C50</f>
        <v>50000</v>
      </c>
      <c r="D55" s="503">
        <v>0</v>
      </c>
      <c r="E55" s="469">
        <f t="shared" si="1"/>
        <v>50000</v>
      </c>
      <c r="F55" s="655">
        <v>11149</v>
      </c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</row>
    <row r="56" spans="1:23" s="482" customFormat="1" ht="14.5" x14ac:dyDescent="0.35">
      <c r="A56" s="257">
        <v>6540</v>
      </c>
      <c r="B56" s="257" t="s">
        <v>669</v>
      </c>
      <c r="C56" s="466">
        <f>Budsjett_enkel!C51</f>
        <v>10000</v>
      </c>
      <c r="D56" s="503">
        <v>0</v>
      </c>
      <c r="E56" s="469">
        <f t="shared" si="1"/>
        <v>10000</v>
      </c>
      <c r="F56" s="655">
        <v>7843</v>
      </c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</row>
    <row r="57" spans="1:23" ht="14.5" x14ac:dyDescent="0.35">
      <c r="A57" s="257">
        <v>6560</v>
      </c>
      <c r="B57" s="257" t="s">
        <v>37</v>
      </c>
      <c r="C57" s="289">
        <f>Budsjett_enkel!C52</f>
        <v>0</v>
      </c>
      <c r="D57" s="503"/>
      <c r="E57" s="469">
        <f t="shared" si="1"/>
        <v>0</v>
      </c>
      <c r="F57" s="655">
        <v>2901</v>
      </c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</row>
    <row r="58" spans="1:23" ht="14.5" x14ac:dyDescent="0.35">
      <c r="A58" s="257">
        <v>6701</v>
      </c>
      <c r="B58" s="257" t="s">
        <v>580</v>
      </c>
      <c r="C58" s="466">
        <f>Budsjett_enkel!C53</f>
        <v>70000</v>
      </c>
      <c r="D58" s="503">
        <v>65000</v>
      </c>
      <c r="E58" s="469">
        <f t="shared" si="1"/>
        <v>5000</v>
      </c>
      <c r="F58" s="655">
        <v>97500</v>
      </c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</row>
    <row r="59" spans="1:23" s="178" customFormat="1" ht="14.5" x14ac:dyDescent="0.35">
      <c r="A59" s="257">
        <v>6705</v>
      </c>
      <c r="B59" s="257" t="s">
        <v>38</v>
      </c>
      <c r="C59" s="466">
        <f>Budsjett_enkel!C54</f>
        <v>100000</v>
      </c>
      <c r="D59" s="500">
        <v>75000</v>
      </c>
      <c r="E59" s="469">
        <f t="shared" si="1"/>
        <v>25000</v>
      </c>
      <c r="F59" s="655">
        <v>78025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</row>
    <row r="60" spans="1:23" ht="14.5" x14ac:dyDescent="0.35">
      <c r="A60" s="257">
        <v>6720</v>
      </c>
      <c r="B60" s="257" t="s">
        <v>39</v>
      </c>
      <c r="C60" s="289">
        <f>Budsjett_enkel!C55</f>
        <v>0</v>
      </c>
      <c r="D60" s="503"/>
      <c r="E60" s="469">
        <f t="shared" si="1"/>
        <v>0</v>
      </c>
      <c r="F60" s="485">
        <v>0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</row>
    <row r="61" spans="1:23" s="482" customFormat="1" ht="14.5" x14ac:dyDescent="0.35">
      <c r="A61" s="257">
        <v>6790</v>
      </c>
      <c r="B61" s="257" t="s">
        <v>676</v>
      </c>
      <c r="C61" s="466"/>
      <c r="D61" s="503"/>
      <c r="E61" s="469">
        <f t="shared" si="1"/>
        <v>0</v>
      </c>
      <c r="F61" s="655">
        <v>31383</v>
      </c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</row>
    <row r="62" spans="1:23" ht="14.5" x14ac:dyDescent="0.35">
      <c r="A62" s="257">
        <v>6800</v>
      </c>
      <c r="B62" s="257" t="s">
        <v>40</v>
      </c>
      <c r="C62" s="289">
        <f>Budsjett_enkel!C56</f>
        <v>10000</v>
      </c>
      <c r="D62" s="503">
        <v>15000</v>
      </c>
      <c r="E62" s="469">
        <f t="shared" si="1"/>
        <v>-5000</v>
      </c>
      <c r="F62" s="655">
        <v>4456</v>
      </c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</row>
    <row r="63" spans="1:23" ht="14.5" x14ac:dyDescent="0.35">
      <c r="A63" s="257">
        <v>6810</v>
      </c>
      <c r="B63" s="257" t="s">
        <v>41</v>
      </c>
      <c r="C63" s="289">
        <f>Budsjett_enkel!C57</f>
        <v>152000</v>
      </c>
      <c r="D63" s="653">
        <v>262000</v>
      </c>
      <c r="E63" s="469">
        <f t="shared" si="1"/>
        <v>-110000</v>
      </c>
      <c r="F63" s="655">
        <v>220792</v>
      </c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</row>
    <row r="64" spans="1:23" ht="14.5" x14ac:dyDescent="0.35">
      <c r="A64" s="257">
        <v>6820</v>
      </c>
      <c r="B64" s="257" t="s">
        <v>42</v>
      </c>
      <c r="C64" s="289">
        <f>Budsjett_enkel!C58</f>
        <v>0</v>
      </c>
      <c r="D64" s="500">
        <v>53000</v>
      </c>
      <c r="E64" s="469">
        <f t="shared" si="1"/>
        <v>-53000</v>
      </c>
      <c r="F64" s="655">
        <v>57010</v>
      </c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</row>
    <row r="65" spans="1:23" ht="14.5" x14ac:dyDescent="0.35">
      <c r="A65" s="257">
        <v>6840</v>
      </c>
      <c r="B65" s="257" t="s">
        <v>43</v>
      </c>
      <c r="C65" s="289">
        <f>Budsjett_enkel!C59</f>
        <v>0</v>
      </c>
      <c r="D65" s="503">
        <v>0</v>
      </c>
      <c r="E65" s="469">
        <f t="shared" si="1"/>
        <v>0</v>
      </c>
      <c r="F65" s="485">
        <v>0</v>
      </c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</row>
    <row r="66" spans="1:23" ht="14.5" x14ac:dyDescent="0.35">
      <c r="A66" s="257">
        <v>6860</v>
      </c>
      <c r="B66" s="257" t="s">
        <v>44</v>
      </c>
      <c r="C66" s="289">
        <f>Budsjett_enkel!C60</f>
        <v>45000</v>
      </c>
      <c r="D66" s="503">
        <v>70000</v>
      </c>
      <c r="E66" s="469">
        <f t="shared" si="1"/>
        <v>-25000</v>
      </c>
      <c r="F66" s="655">
        <v>4400</v>
      </c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</row>
    <row r="67" spans="1:23" ht="14.5" x14ac:dyDescent="0.35">
      <c r="A67" s="257">
        <v>6868</v>
      </c>
      <c r="B67" s="257" t="s">
        <v>45</v>
      </c>
      <c r="C67" s="289">
        <f>Budsjett_enkel!C61</f>
        <v>155590.75</v>
      </c>
      <c r="D67" s="500">
        <v>354065</v>
      </c>
      <c r="E67" s="469">
        <f t="shared" si="1"/>
        <v>-198474.25</v>
      </c>
      <c r="F67" s="654">
        <v>116534</v>
      </c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</row>
    <row r="68" spans="1:23" ht="14.5" x14ac:dyDescent="0.35">
      <c r="A68" s="257">
        <v>6900</v>
      </c>
      <c r="B68" s="257" t="s">
        <v>46</v>
      </c>
      <c r="C68" s="289">
        <f>Budsjett_enkel!C62</f>
        <v>10000</v>
      </c>
      <c r="D68" s="500">
        <v>4000</v>
      </c>
      <c r="E68" s="469">
        <f t="shared" si="1"/>
        <v>6000</v>
      </c>
      <c r="F68" s="655">
        <v>5080</v>
      </c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</row>
    <row r="69" spans="1:23" ht="14.5" x14ac:dyDescent="0.35">
      <c r="A69" s="257">
        <v>6940</v>
      </c>
      <c r="B69" s="257" t="s">
        <v>47</v>
      </c>
      <c r="C69" s="289">
        <f>Budsjett_enkel!C63</f>
        <v>45000</v>
      </c>
      <c r="D69" s="500">
        <v>72000</v>
      </c>
      <c r="E69" s="469">
        <f t="shared" si="1"/>
        <v>-27000</v>
      </c>
      <c r="F69" s="654">
        <v>39709</v>
      </c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</row>
    <row r="70" spans="1:23" ht="14.5" x14ac:dyDescent="0.35">
      <c r="A70" s="257">
        <v>6960</v>
      </c>
      <c r="B70" s="257" t="s">
        <v>48</v>
      </c>
      <c r="C70" s="289">
        <f>Budsjett_enkel!C64</f>
        <v>20000</v>
      </c>
      <c r="D70" s="500">
        <v>22000</v>
      </c>
      <c r="E70" s="469">
        <f t="shared" si="1"/>
        <v>-2000</v>
      </c>
      <c r="F70" s="655">
        <v>4607</v>
      </c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</row>
    <row r="71" spans="1:23" ht="14.5" x14ac:dyDescent="0.35">
      <c r="A71" s="257">
        <v>7040</v>
      </c>
      <c r="B71" s="257" t="s">
        <v>49</v>
      </c>
      <c r="C71" s="289">
        <f>Budsjett_enkel!C65</f>
        <v>2000</v>
      </c>
      <c r="D71" s="503">
        <v>0</v>
      </c>
      <c r="E71" s="469">
        <f t="shared" si="1"/>
        <v>2000</v>
      </c>
      <c r="F71" s="485">
        <v>0</v>
      </c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</row>
    <row r="72" spans="1:23" ht="14.5" x14ac:dyDescent="0.35">
      <c r="A72" s="257">
        <v>7105</v>
      </c>
      <c r="B72" s="257" t="s">
        <v>50</v>
      </c>
      <c r="C72" s="289">
        <f>Budsjett_enkel!C66</f>
        <v>0</v>
      </c>
      <c r="D72" s="503"/>
      <c r="E72" s="469">
        <f t="shared" si="1"/>
        <v>0</v>
      </c>
      <c r="F72" s="655">
        <v>-3</v>
      </c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</row>
    <row r="73" spans="1:23" ht="14.5" x14ac:dyDescent="0.35">
      <c r="A73" s="257">
        <v>7140</v>
      </c>
      <c r="B73" s="257" t="s">
        <v>51</v>
      </c>
      <c r="C73" s="289">
        <f>Budsjett_enkel!C67</f>
        <v>1031412.5</v>
      </c>
      <c r="D73" s="503">
        <v>865358</v>
      </c>
      <c r="E73" s="469">
        <f t="shared" si="1"/>
        <v>166054.5</v>
      </c>
      <c r="F73" s="654">
        <v>493976</v>
      </c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</row>
    <row r="74" spans="1:23" ht="14.5" x14ac:dyDescent="0.35">
      <c r="A74" s="257">
        <v>7145</v>
      </c>
      <c r="B74" s="257" t="s">
        <v>52</v>
      </c>
      <c r="C74" s="289">
        <f>Budsjett_enkel!C68</f>
        <v>459685</v>
      </c>
      <c r="D74" s="500">
        <v>435810</v>
      </c>
      <c r="E74" s="469">
        <f t="shared" si="1"/>
        <v>23875</v>
      </c>
      <c r="F74" s="654">
        <v>385971</v>
      </c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</row>
    <row r="75" spans="1:23" s="632" customFormat="1" ht="14.5" x14ac:dyDescent="0.35">
      <c r="A75" s="257">
        <v>7320</v>
      </c>
      <c r="B75" s="257" t="s">
        <v>670</v>
      </c>
      <c r="C75" s="466">
        <f>Budsjett_enkel!C69</f>
        <v>15000</v>
      </c>
      <c r="D75" s="500">
        <v>60000</v>
      </c>
      <c r="E75" s="650">
        <f t="shared" si="1"/>
        <v>-45000</v>
      </c>
      <c r="F75" s="651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</row>
    <row r="76" spans="1:23" ht="14.5" x14ac:dyDescent="0.35">
      <c r="A76" s="257">
        <v>7360</v>
      </c>
      <c r="B76" s="257" t="s">
        <v>53</v>
      </c>
      <c r="C76" s="289">
        <f>Budsjett_enkel!C70</f>
        <v>0</v>
      </c>
      <c r="D76" s="503"/>
      <c r="E76" s="469">
        <f t="shared" si="1"/>
        <v>0</v>
      </c>
      <c r="F76" s="489">
        <v>0</v>
      </c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</row>
    <row r="77" spans="1:23" s="282" customFormat="1" ht="14.5" x14ac:dyDescent="0.35">
      <c r="A77" s="257">
        <v>7400</v>
      </c>
      <c r="B77" s="327" t="s">
        <v>527</v>
      </c>
      <c r="C77" s="289">
        <f>Budsjett_enkel!C71</f>
        <v>328769</v>
      </c>
      <c r="D77" s="503">
        <v>294150</v>
      </c>
      <c r="E77" s="469">
        <f t="shared" si="1"/>
        <v>34619</v>
      </c>
      <c r="F77" s="489">
        <v>0</v>
      </c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</row>
    <row r="78" spans="1:23" ht="14.5" x14ac:dyDescent="0.35">
      <c r="A78" s="257">
        <v>7600</v>
      </c>
      <c r="B78" s="257" t="s">
        <v>106</v>
      </c>
      <c r="C78" s="289">
        <f>Budsjett_enkel!C72</f>
        <v>0</v>
      </c>
      <c r="D78" s="503"/>
      <c r="E78" s="469">
        <f>C78-D78</f>
        <v>0</v>
      </c>
      <c r="F78" s="489">
        <v>0</v>
      </c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</row>
    <row r="79" spans="1:23" ht="14.5" x14ac:dyDescent="0.35">
      <c r="A79" s="257">
        <v>7601</v>
      </c>
      <c r="B79" s="257" t="s">
        <v>54</v>
      </c>
      <c r="C79" s="289">
        <f>Budsjett_enkel!C73</f>
        <v>22500</v>
      </c>
      <c r="D79" s="503">
        <v>20000</v>
      </c>
      <c r="E79" s="469">
        <f>C79-D79</f>
        <v>2500</v>
      </c>
      <c r="F79" s="654">
        <v>19925</v>
      </c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</row>
    <row r="80" spans="1:23" ht="14.5" x14ac:dyDescent="0.35">
      <c r="A80" s="257">
        <v>7610</v>
      </c>
      <c r="B80" s="257" t="s">
        <v>55</v>
      </c>
      <c r="C80" s="289">
        <f>Budsjett_enkel!C74</f>
        <v>0</v>
      </c>
      <c r="D80" s="503">
        <v>0</v>
      </c>
      <c r="E80" s="469">
        <f t="shared" si="1"/>
        <v>0</v>
      </c>
      <c r="F80" s="654">
        <v>255624</v>
      </c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</row>
    <row r="81" spans="1:23" ht="14.5" x14ac:dyDescent="0.35">
      <c r="A81" s="257">
        <v>7612</v>
      </c>
      <c r="B81" s="257" t="s">
        <v>56</v>
      </c>
      <c r="C81" s="289">
        <f>Budsjett_enkel!C75</f>
        <v>0</v>
      </c>
      <c r="D81" s="503"/>
      <c r="E81" s="469">
        <f t="shared" si="1"/>
        <v>0</v>
      </c>
      <c r="F81" s="485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</row>
    <row r="82" spans="1:23" ht="14.5" x14ac:dyDescent="0.35">
      <c r="A82" s="257">
        <v>7620</v>
      </c>
      <c r="B82" s="257" t="s">
        <v>57</v>
      </c>
      <c r="C82" s="289">
        <f>Budsjett_enkel!C76</f>
        <v>20000</v>
      </c>
      <c r="D82" s="503">
        <v>16000</v>
      </c>
      <c r="E82" s="469">
        <f t="shared" si="1"/>
        <v>4000</v>
      </c>
      <c r="F82" s="655">
        <v>12476</v>
      </c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</row>
    <row r="83" spans="1:23" ht="14.5" x14ac:dyDescent="0.35">
      <c r="A83" s="257">
        <v>7650</v>
      </c>
      <c r="B83" s="257" t="s">
        <v>58</v>
      </c>
      <c r="C83" s="289">
        <f>Budsjett_enkel!C77</f>
        <v>0</v>
      </c>
      <c r="D83" s="503"/>
      <c r="E83" s="469">
        <f t="shared" si="1"/>
        <v>0</v>
      </c>
      <c r="F83" s="472">
        <v>0</v>
      </c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</row>
    <row r="84" spans="1:23" s="178" customFormat="1" ht="14.5" x14ac:dyDescent="0.35">
      <c r="A84" s="257">
        <v>7700</v>
      </c>
      <c r="B84" s="328" t="s">
        <v>59</v>
      </c>
      <c r="C84" s="289"/>
      <c r="D84" s="652"/>
      <c r="E84" s="469">
        <f t="shared" si="1"/>
        <v>0</v>
      </c>
      <c r="F84" s="472">
        <v>0</v>
      </c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</row>
    <row r="85" spans="1:23" ht="14.5" x14ac:dyDescent="0.35">
      <c r="A85" s="257">
        <v>7770</v>
      </c>
      <c r="B85" s="257" t="s">
        <v>60</v>
      </c>
      <c r="C85" s="289">
        <f>Budsjett_enkel!C78</f>
        <v>15000</v>
      </c>
      <c r="D85" s="652">
        <v>15000</v>
      </c>
      <c r="E85" s="469">
        <f t="shared" si="1"/>
        <v>0</v>
      </c>
      <c r="F85" s="655">
        <v>12949</v>
      </c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</row>
    <row r="86" spans="1:23" ht="14.5" x14ac:dyDescent="0.35">
      <c r="A86" s="257">
        <v>7801</v>
      </c>
      <c r="B86" s="257" t="s">
        <v>61</v>
      </c>
      <c r="C86" s="289">
        <f>Budsjett_enkel!C79</f>
        <v>0</v>
      </c>
      <c r="D86" s="503">
        <v>0</v>
      </c>
      <c r="E86" s="469">
        <f t="shared" si="1"/>
        <v>0</v>
      </c>
      <c r="F86" s="472">
        <v>0</v>
      </c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</row>
    <row r="87" spans="1:23" ht="14.5" x14ac:dyDescent="0.35">
      <c r="A87" s="257">
        <v>7830</v>
      </c>
      <c r="B87" s="257" t="s">
        <v>62</v>
      </c>
      <c r="C87" s="289">
        <f>Budsjett_enkel!C80</f>
        <v>0</v>
      </c>
      <c r="D87" s="503"/>
      <c r="E87" s="469">
        <f t="shared" si="1"/>
        <v>0</v>
      </c>
      <c r="F87" s="655">
        <v>54212</v>
      </c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</row>
    <row r="88" spans="1:23" s="301" customFormat="1" ht="14.5" x14ac:dyDescent="0.35">
      <c r="A88" s="257">
        <v>7970</v>
      </c>
      <c r="B88" s="257" t="s">
        <v>251</v>
      </c>
      <c r="C88" s="289">
        <f>Budsjett_enkel!C81</f>
        <v>2000</v>
      </c>
      <c r="D88" s="523">
        <v>1800</v>
      </c>
      <c r="E88" s="469">
        <f t="shared" si="1"/>
        <v>200</v>
      </c>
      <c r="F88" s="645">
        <v>1500</v>
      </c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</row>
    <row r="89" spans="1:23" ht="14.5" x14ac:dyDescent="0.35">
      <c r="A89" s="331" t="s">
        <v>63</v>
      </c>
      <c r="B89" s="257"/>
      <c r="C89" s="319">
        <f>SUM(C52:C88)</f>
        <v>2920548</v>
      </c>
      <c r="D89" s="524">
        <f>SUM(D52:D88)</f>
        <v>2910183</v>
      </c>
      <c r="E89" s="469">
        <f t="shared" ref="E89:E103" si="3">C89-D89</f>
        <v>10365</v>
      </c>
      <c r="F89" s="490">
        <f>SUM(F52:F88)</f>
        <v>2327776</v>
      </c>
      <c r="G89" s="16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</row>
    <row r="90" spans="1:23" ht="14.5" x14ac:dyDescent="0.35">
      <c r="A90" s="331" t="s">
        <v>64</v>
      </c>
      <c r="B90" s="257"/>
      <c r="C90" s="318">
        <f>C33+C50+C89</f>
        <v>7297577.6030986235</v>
      </c>
      <c r="D90" s="525">
        <f>D33+D50+D89</f>
        <v>6853626</v>
      </c>
      <c r="E90" s="469">
        <f t="shared" si="3"/>
        <v>443951.60309862345</v>
      </c>
      <c r="F90" s="486">
        <f>F33+F50+F89</f>
        <v>6153179</v>
      </c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</row>
    <row r="91" spans="1:23" ht="14.5" x14ac:dyDescent="0.35">
      <c r="A91" s="331"/>
      <c r="B91" s="257"/>
      <c r="C91" s="289"/>
      <c r="D91" s="521"/>
      <c r="E91" s="469">
        <f t="shared" si="3"/>
        <v>0</v>
      </c>
      <c r="F91" s="485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</row>
    <row r="92" spans="1:23" ht="14.5" x14ac:dyDescent="0.35">
      <c r="A92" s="331" t="s">
        <v>65</v>
      </c>
      <c r="B92" s="257"/>
      <c r="C92" s="319">
        <f>C22-C90</f>
        <v>-210943.02253827825</v>
      </c>
      <c r="D92" s="520">
        <f>D22-D90</f>
        <v>67308</v>
      </c>
      <c r="E92" s="469">
        <f t="shared" si="3"/>
        <v>-278251.02253827825</v>
      </c>
      <c r="F92" s="491">
        <f>F22-F90</f>
        <v>629622</v>
      </c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</row>
    <row r="93" spans="1:23" ht="14.5" x14ac:dyDescent="0.35">
      <c r="A93" s="257"/>
      <c r="B93" s="257"/>
      <c r="C93" s="289"/>
      <c r="D93" s="521"/>
      <c r="E93" s="469">
        <f t="shared" si="3"/>
        <v>0</v>
      </c>
      <c r="F93" s="485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</row>
    <row r="94" spans="1:23" ht="14.5" x14ac:dyDescent="0.35">
      <c r="A94" s="257">
        <v>8040</v>
      </c>
      <c r="B94" s="257" t="s">
        <v>66</v>
      </c>
      <c r="C94" s="289">
        <f>Budsjett_enkel!C86</f>
        <v>27000</v>
      </c>
      <c r="D94" s="521"/>
      <c r="E94" s="469">
        <f t="shared" si="3"/>
        <v>27000</v>
      </c>
      <c r="F94" s="485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</row>
    <row r="95" spans="1:23" ht="14.5" x14ac:dyDescent="0.35">
      <c r="A95" s="257">
        <v>8050</v>
      </c>
      <c r="B95" s="257" t="s">
        <v>67</v>
      </c>
      <c r="C95" s="289"/>
      <c r="D95" s="521">
        <v>27000</v>
      </c>
      <c r="E95" s="469">
        <f t="shared" si="3"/>
        <v>-27000</v>
      </c>
      <c r="F95" s="485">
        <v>24279</v>
      </c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</row>
    <row r="96" spans="1:23" s="482" customFormat="1" ht="14.5" x14ac:dyDescent="0.35">
      <c r="A96" s="331" t="s">
        <v>273</v>
      </c>
      <c r="B96" s="257"/>
      <c r="C96" s="466"/>
      <c r="D96" s="521"/>
      <c r="E96" s="469">
        <f t="shared" si="3"/>
        <v>0</v>
      </c>
      <c r="F96" s="485">
        <f>SUM(F95)</f>
        <v>24279</v>
      </c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</row>
    <row r="97" spans="1:23" s="178" customFormat="1" ht="14.5" x14ac:dyDescent="0.35">
      <c r="A97" s="257">
        <v>8091</v>
      </c>
      <c r="B97" s="257" t="s">
        <v>68</v>
      </c>
      <c r="C97" s="289"/>
      <c r="D97" s="521"/>
      <c r="E97" s="469">
        <f t="shared" si="3"/>
        <v>0</v>
      </c>
      <c r="F97" s="485">
        <v>2625</v>
      </c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</row>
    <row r="98" spans="1:23" ht="14.5" x14ac:dyDescent="0.35">
      <c r="A98" s="257">
        <v>8110</v>
      </c>
      <c r="B98" s="257" t="s">
        <v>69</v>
      </c>
      <c r="C98" s="289"/>
      <c r="D98" s="521"/>
      <c r="E98" s="469">
        <f t="shared" si="3"/>
        <v>0</v>
      </c>
      <c r="F98" s="485">
        <v>0</v>
      </c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</row>
    <row r="99" spans="1:23" ht="14.5" x14ac:dyDescent="0.35">
      <c r="A99" s="257">
        <v>8140</v>
      </c>
      <c r="B99" s="257" t="s">
        <v>70</v>
      </c>
      <c r="D99" s="521"/>
      <c r="E99" s="469">
        <f t="shared" si="3"/>
        <v>0</v>
      </c>
      <c r="F99" s="485">
        <v>54</v>
      </c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</row>
    <row r="100" spans="1:23" s="301" customFormat="1" ht="14.5" x14ac:dyDescent="0.35">
      <c r="A100" s="334">
        <v>8179</v>
      </c>
      <c r="B100" s="329" t="s">
        <v>109</v>
      </c>
      <c r="C100" s="289">
        <f>Budsjett_enkel!C87</f>
        <v>0</v>
      </c>
      <c r="D100" s="526"/>
      <c r="E100" s="469">
        <f t="shared" si="3"/>
        <v>0</v>
      </c>
      <c r="F100" s="485">
        <v>100</v>
      </c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</row>
    <row r="101" spans="1:23" ht="14.5" x14ac:dyDescent="0.35">
      <c r="A101" s="331" t="s">
        <v>71</v>
      </c>
      <c r="B101" s="257"/>
      <c r="C101" s="289">
        <f>SUM(C94:C100)</f>
        <v>27000</v>
      </c>
      <c r="D101" s="521"/>
      <c r="E101" s="469">
        <f t="shared" si="3"/>
        <v>27000</v>
      </c>
      <c r="F101" s="485">
        <f>SUM(F97:F100)</f>
        <v>2779</v>
      </c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</row>
    <row r="102" spans="1:23" thickBot="1" x14ac:dyDescent="0.4">
      <c r="A102" s="483" t="s">
        <v>677</v>
      </c>
      <c r="B102" s="257"/>
      <c r="C102" s="289"/>
      <c r="D102" s="521"/>
      <c r="E102" s="469">
        <f t="shared" si="3"/>
        <v>0</v>
      </c>
      <c r="F102" s="485">
        <f>F96-F101</f>
        <v>21500</v>
      </c>
      <c r="G102" s="217"/>
      <c r="H102" s="217"/>
      <c r="I102" s="217" t="s">
        <v>681</v>
      </c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</row>
    <row r="103" spans="1:23" ht="15.75" customHeight="1" thickBot="1" x14ac:dyDescent="0.4">
      <c r="A103" s="335" t="s">
        <v>72</v>
      </c>
      <c r="B103" s="475"/>
      <c r="C103" s="474">
        <f t="shared" ref="C103:D103" si="4">C92+C101</f>
        <v>-183943.02253827825</v>
      </c>
      <c r="D103" s="504">
        <f t="shared" si="4"/>
        <v>67308</v>
      </c>
      <c r="E103" s="469">
        <f t="shared" si="3"/>
        <v>-251251.02253827825</v>
      </c>
      <c r="F103" s="492">
        <f>F92+F102</f>
        <v>651122</v>
      </c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</row>
    <row r="104" spans="1:23" ht="14.5" x14ac:dyDescent="0.35">
      <c r="A104" s="257"/>
      <c r="B104" s="257"/>
      <c r="C104" s="289"/>
      <c r="D104" s="521"/>
      <c r="E104" s="468"/>
      <c r="F104" s="493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</row>
    <row r="105" spans="1:23" ht="14.5" x14ac:dyDescent="0.35">
      <c r="A105" s="257"/>
      <c r="B105" s="257"/>
      <c r="C105" s="289"/>
      <c r="D105" s="521"/>
      <c r="E105" s="468"/>
      <c r="F105" s="493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</row>
    <row r="106" spans="1:23" ht="29" x14ac:dyDescent="0.35">
      <c r="A106" s="316" t="s">
        <v>73</v>
      </c>
      <c r="B106" s="330"/>
      <c r="C106" s="316" t="s">
        <v>755</v>
      </c>
      <c r="D106" s="528" t="s">
        <v>756</v>
      </c>
      <c r="E106" s="473" t="s">
        <v>566</v>
      </c>
      <c r="F106" s="494" t="s">
        <v>672</v>
      </c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</row>
    <row r="107" spans="1:23" ht="14.5" x14ac:dyDescent="0.35">
      <c r="A107" s="257">
        <v>2025</v>
      </c>
      <c r="B107" s="340" t="s">
        <v>74</v>
      </c>
      <c r="C107" s="467">
        <f>Budsjett_enkel!C92</f>
        <v>21650</v>
      </c>
      <c r="D107" s="505">
        <v>21400</v>
      </c>
      <c r="E107" s="470">
        <f>C107-D107</f>
        <v>250</v>
      </c>
      <c r="F107" s="495">
        <v>-114079.88</v>
      </c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</row>
    <row r="108" spans="1:23" ht="14.5" x14ac:dyDescent="0.35">
      <c r="A108" s="257">
        <v>2028</v>
      </c>
      <c r="B108" s="257" t="s">
        <v>75</v>
      </c>
      <c r="C108" s="341">
        <f>Budsjett_enkel!C94</f>
        <v>0</v>
      </c>
      <c r="D108" s="505">
        <v>-1502.1522217569873</v>
      </c>
      <c r="E108" s="470">
        <f t="shared" ref="E108:E113" si="5">C108-D108</f>
        <v>1502.1522217569873</v>
      </c>
      <c r="F108" s="495">
        <v>81212</v>
      </c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</row>
    <row r="109" spans="1:23" ht="14.5" x14ac:dyDescent="0.35">
      <c r="A109" s="257">
        <v>2029</v>
      </c>
      <c r="B109" s="257" t="s">
        <v>76</v>
      </c>
      <c r="C109" s="341">
        <f>Budsjett_enkel!C95</f>
        <v>0</v>
      </c>
      <c r="D109" s="505">
        <v>0</v>
      </c>
      <c r="E109" s="470">
        <f t="shared" si="5"/>
        <v>0</v>
      </c>
      <c r="F109" s="495">
        <v>0</v>
      </c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</row>
    <row r="110" spans="1:23" ht="14.5" x14ac:dyDescent="0.35">
      <c r="A110" s="257">
        <v>2030</v>
      </c>
      <c r="B110" s="257" t="s">
        <v>77</v>
      </c>
      <c r="C110" s="341">
        <f>Budsjett_enkel!C96</f>
        <v>0</v>
      </c>
      <c r="D110" s="505">
        <v>6750</v>
      </c>
      <c r="E110" s="470">
        <f t="shared" si="5"/>
        <v>-6750</v>
      </c>
      <c r="F110" s="495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</row>
    <row r="111" spans="1:23" ht="14.5" x14ac:dyDescent="0.35">
      <c r="A111" s="257">
        <v>2040</v>
      </c>
      <c r="B111" s="257" t="s">
        <v>78</v>
      </c>
      <c r="C111" s="341"/>
      <c r="D111" s="505"/>
      <c r="E111" s="470">
        <f t="shared" si="5"/>
        <v>0</v>
      </c>
      <c r="F111" s="495">
        <v>360379.63</v>
      </c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</row>
    <row r="112" spans="1:23" ht="14.5" x14ac:dyDescent="0.35">
      <c r="A112" s="257">
        <v>2050</v>
      </c>
      <c r="B112" s="257" t="s">
        <v>79</v>
      </c>
      <c r="C112" s="341"/>
      <c r="D112" s="505"/>
      <c r="E112" s="470">
        <f t="shared" si="5"/>
        <v>0</v>
      </c>
      <c r="F112" s="495">
        <v>0</v>
      </c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</row>
    <row r="113" spans="1:23" s="301" customFormat="1" ht="14.5" x14ac:dyDescent="0.35">
      <c r="A113" s="257">
        <v>2060</v>
      </c>
      <c r="B113" s="257" t="s">
        <v>565</v>
      </c>
      <c r="C113" s="322"/>
      <c r="D113" s="506"/>
      <c r="E113" s="470">
        <f t="shared" si="5"/>
        <v>0</v>
      </c>
      <c r="F113" s="495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</row>
    <row r="114" spans="1:23" ht="14.5" x14ac:dyDescent="0.35">
      <c r="A114" s="342"/>
      <c r="B114" s="343" t="s">
        <v>80</v>
      </c>
      <c r="C114" s="321">
        <f t="shared" ref="C114:F114" si="6">SUM(C107:C112)</f>
        <v>21650</v>
      </c>
      <c r="D114" s="527">
        <f t="shared" si="6"/>
        <v>26647.847778243013</v>
      </c>
      <c r="E114" s="469">
        <f>C114-D114</f>
        <v>-4997.8477782430127</v>
      </c>
      <c r="F114" s="496">
        <f t="shared" si="6"/>
        <v>327511.75</v>
      </c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</row>
    <row r="115" spans="1:23" ht="14.5" x14ac:dyDescent="0.35">
      <c r="A115" s="344">
        <v>8980</v>
      </c>
      <c r="B115" s="345" t="s">
        <v>81</v>
      </c>
      <c r="C115" s="322">
        <f t="shared" ref="C115:F115" si="7">C103-C114</f>
        <v>-205593.02253827825</v>
      </c>
      <c r="D115" s="506">
        <v>35341.042540598661</v>
      </c>
      <c r="E115" s="471">
        <f>C115-D115</f>
        <v>-240934.06507887691</v>
      </c>
      <c r="F115" s="497">
        <f t="shared" si="7"/>
        <v>323610.25</v>
      </c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</row>
    <row r="116" spans="1:23" ht="14.5" x14ac:dyDescent="0.35">
      <c r="A116" s="257"/>
      <c r="B116" s="257"/>
      <c r="C116" s="256"/>
      <c r="D116" s="516"/>
      <c r="E116" s="336"/>
      <c r="F116" s="493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</row>
    <row r="117" spans="1:23" ht="14.5" x14ac:dyDescent="0.35">
      <c r="A117" s="257"/>
      <c r="B117" s="257"/>
      <c r="C117" s="257"/>
      <c r="D117" s="516"/>
      <c r="E117" s="336"/>
      <c r="F117" s="493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</row>
    <row r="118" spans="1:23" ht="14.5" x14ac:dyDescent="0.35">
      <c r="A118" s="257"/>
      <c r="B118" s="257"/>
      <c r="C118" s="257"/>
      <c r="D118" s="257"/>
      <c r="E118" s="337"/>
      <c r="F118" s="493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</row>
    <row r="119" spans="1:23" ht="14.5" x14ac:dyDescent="0.35">
      <c r="A119" s="257"/>
      <c r="B119" s="257"/>
      <c r="C119" s="257"/>
      <c r="D119" s="257"/>
      <c r="E119" s="337"/>
      <c r="F119" s="493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</row>
    <row r="120" spans="1:23" ht="14.5" x14ac:dyDescent="0.35">
      <c r="A120" s="257"/>
      <c r="B120" s="257"/>
      <c r="C120" s="257"/>
      <c r="D120" s="257"/>
      <c r="E120" s="337"/>
      <c r="F120" s="493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</row>
    <row r="121" spans="1:23" ht="14.5" x14ac:dyDescent="0.35">
      <c r="A121" s="257"/>
      <c r="B121" s="257"/>
      <c r="C121" s="257"/>
      <c r="D121" s="257"/>
      <c r="E121" s="337"/>
      <c r="F121" s="493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</row>
    <row r="122" spans="1:23" ht="14.5" x14ac:dyDescent="0.35">
      <c r="A122" s="257"/>
      <c r="B122" s="257"/>
      <c r="C122" s="257"/>
      <c r="D122" s="257"/>
      <c r="E122" s="337"/>
      <c r="F122" s="493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</row>
    <row r="123" spans="1:23" ht="14.5" x14ac:dyDescent="0.35">
      <c r="A123" s="257"/>
      <c r="B123" s="257"/>
      <c r="C123" s="257"/>
      <c r="D123" s="257"/>
      <c r="E123" s="337"/>
      <c r="F123" s="493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</row>
    <row r="124" spans="1:23" ht="14.5" x14ac:dyDescent="0.35">
      <c r="A124" s="257"/>
      <c r="B124" s="257"/>
      <c r="C124" s="257"/>
      <c r="D124" s="257"/>
      <c r="E124" s="337"/>
      <c r="F124" s="493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</row>
    <row r="125" spans="1:23" ht="14.5" x14ac:dyDescent="0.35">
      <c r="A125" s="257"/>
      <c r="B125" s="257"/>
      <c r="C125" s="257"/>
      <c r="D125" s="257"/>
      <c r="E125" s="337"/>
      <c r="F125" s="493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</row>
    <row r="126" spans="1:23" ht="14.5" x14ac:dyDescent="0.35">
      <c r="A126" s="257"/>
      <c r="B126" s="257"/>
      <c r="C126" s="257"/>
      <c r="D126" s="257"/>
      <c r="E126" s="337"/>
      <c r="F126" s="493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</row>
    <row r="127" spans="1:23" ht="14.5" x14ac:dyDescent="0.35">
      <c r="A127" s="257"/>
      <c r="B127" s="257"/>
      <c r="C127" s="257"/>
      <c r="D127" s="257"/>
      <c r="E127" s="337"/>
      <c r="F127" s="493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</row>
    <row r="128" spans="1:23" ht="14.5" x14ac:dyDescent="0.35">
      <c r="A128" s="257"/>
      <c r="B128" s="257"/>
      <c r="C128" s="257"/>
      <c r="D128" s="257"/>
      <c r="E128" s="337"/>
      <c r="F128" s="493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</row>
    <row r="129" spans="1:23" ht="14.5" x14ac:dyDescent="0.35">
      <c r="A129" s="257"/>
      <c r="B129" s="257"/>
      <c r="C129" s="257"/>
      <c r="D129" s="257"/>
      <c r="E129" s="337"/>
      <c r="F129" s="493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</row>
    <row r="130" spans="1:23" ht="14.5" x14ac:dyDescent="0.35">
      <c r="A130" s="257"/>
      <c r="B130" s="257"/>
      <c r="C130" s="257"/>
      <c r="D130" s="257"/>
      <c r="E130" s="337"/>
      <c r="F130" s="493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</row>
    <row r="131" spans="1:23" ht="14.5" x14ac:dyDescent="0.35">
      <c r="A131" s="257"/>
      <c r="B131" s="257"/>
      <c r="C131" s="257"/>
      <c r="D131" s="257"/>
      <c r="E131" s="337"/>
      <c r="F131" s="493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</row>
    <row r="132" spans="1:23" ht="14.5" x14ac:dyDescent="0.35">
      <c r="A132" s="257"/>
      <c r="B132" s="257"/>
      <c r="C132" s="257"/>
      <c r="D132" s="257"/>
      <c r="E132" s="337"/>
      <c r="F132" s="493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</row>
    <row r="133" spans="1:23" ht="14.5" x14ac:dyDescent="0.35">
      <c r="A133" s="257"/>
      <c r="B133" s="257"/>
      <c r="C133" s="257"/>
      <c r="D133" s="257"/>
      <c r="E133" s="337"/>
      <c r="F133" s="493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</row>
    <row r="134" spans="1:23" ht="14.5" x14ac:dyDescent="0.35">
      <c r="A134" s="257"/>
      <c r="B134" s="257"/>
      <c r="C134" s="257"/>
      <c r="D134" s="257"/>
      <c r="E134" s="337"/>
      <c r="F134" s="493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</row>
    <row r="135" spans="1:23" ht="14.5" x14ac:dyDescent="0.35">
      <c r="A135" s="257"/>
      <c r="B135" s="257"/>
      <c r="C135" s="257"/>
      <c r="D135" s="257"/>
      <c r="E135" s="337"/>
      <c r="F135" s="493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</row>
    <row r="136" spans="1:23" ht="14.5" x14ac:dyDescent="0.35">
      <c r="A136" s="257"/>
      <c r="B136" s="257"/>
      <c r="C136" s="257"/>
      <c r="D136" s="257"/>
      <c r="E136" s="337"/>
      <c r="F136" s="493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</row>
    <row r="137" spans="1:23" ht="14.5" x14ac:dyDescent="0.35">
      <c r="A137" s="257"/>
      <c r="B137" s="257"/>
      <c r="C137" s="257"/>
      <c r="D137" s="257"/>
      <c r="E137" s="337"/>
      <c r="F137" s="493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</row>
    <row r="138" spans="1:23" ht="14.5" x14ac:dyDescent="0.35">
      <c r="A138" s="257"/>
      <c r="B138" s="257"/>
      <c r="C138" s="257"/>
      <c r="D138" s="257"/>
      <c r="E138" s="337"/>
      <c r="F138" s="493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</row>
    <row r="139" spans="1:23" ht="14.5" x14ac:dyDescent="0.35">
      <c r="A139" s="257"/>
      <c r="B139" s="257"/>
      <c r="C139" s="257"/>
      <c r="D139" s="257"/>
      <c r="E139" s="337"/>
      <c r="F139" s="493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</row>
    <row r="140" spans="1:23" ht="14.5" x14ac:dyDescent="0.35">
      <c r="A140" s="257"/>
      <c r="B140" s="257"/>
      <c r="C140" s="257"/>
      <c r="D140" s="257"/>
      <c r="E140" s="337"/>
      <c r="F140" s="493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</row>
    <row r="141" spans="1:23" ht="14.5" x14ac:dyDescent="0.35">
      <c r="A141" s="257"/>
      <c r="B141" s="257"/>
      <c r="C141" s="257"/>
      <c r="D141" s="257"/>
      <c r="E141" s="337"/>
      <c r="F141" s="493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</row>
    <row r="142" spans="1:23" ht="14.5" x14ac:dyDescent="0.35">
      <c r="A142" s="257"/>
      <c r="B142" s="257"/>
      <c r="C142" s="257"/>
      <c r="D142" s="257"/>
      <c r="E142" s="337"/>
      <c r="F142" s="493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</row>
    <row r="143" spans="1:23" ht="14.5" x14ac:dyDescent="0.35">
      <c r="A143" s="257"/>
      <c r="B143" s="257"/>
      <c r="C143" s="257"/>
      <c r="D143" s="257"/>
      <c r="E143" s="337"/>
      <c r="F143" s="493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</row>
    <row r="144" spans="1:23" ht="14.5" x14ac:dyDescent="0.35">
      <c r="A144" s="257"/>
      <c r="B144" s="257"/>
      <c r="C144" s="257"/>
      <c r="D144" s="257"/>
      <c r="E144" s="337"/>
      <c r="F144" s="493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</row>
    <row r="145" spans="1:23" ht="14.5" x14ac:dyDescent="0.35">
      <c r="A145" s="257"/>
      <c r="B145" s="257"/>
      <c r="C145" s="257"/>
      <c r="D145" s="257"/>
      <c r="E145" s="337"/>
      <c r="F145" s="493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</row>
    <row r="146" spans="1:23" ht="14.5" x14ac:dyDescent="0.35">
      <c r="A146" s="257"/>
      <c r="B146" s="257"/>
      <c r="C146" s="257"/>
      <c r="D146" s="257"/>
      <c r="E146" s="337"/>
      <c r="F146" s="493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</row>
    <row r="147" spans="1:23" ht="14.5" x14ac:dyDescent="0.35">
      <c r="A147" s="257"/>
      <c r="B147" s="257"/>
      <c r="C147" s="257"/>
      <c r="D147" s="257"/>
      <c r="E147" s="337"/>
      <c r="F147" s="493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</row>
    <row r="148" spans="1:23" ht="14.5" x14ac:dyDescent="0.35">
      <c r="A148" s="257"/>
      <c r="B148" s="257"/>
      <c r="C148" s="257"/>
      <c r="D148" s="257"/>
      <c r="E148" s="337"/>
      <c r="F148" s="493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</row>
    <row r="149" spans="1:23" ht="14.5" x14ac:dyDescent="0.35">
      <c r="A149" s="257"/>
      <c r="B149" s="257"/>
      <c r="C149" s="257"/>
      <c r="D149" s="257"/>
      <c r="E149" s="337"/>
      <c r="F149" s="493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</row>
    <row r="150" spans="1:23" ht="14.5" x14ac:dyDescent="0.35">
      <c r="A150" s="257"/>
      <c r="B150" s="257"/>
      <c r="C150" s="257"/>
      <c r="D150" s="257"/>
      <c r="E150" s="337"/>
      <c r="F150" s="493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</row>
    <row r="151" spans="1:23" ht="14.5" x14ac:dyDescent="0.35">
      <c r="A151" s="257"/>
      <c r="B151" s="257"/>
      <c r="C151" s="257"/>
      <c r="D151" s="257"/>
      <c r="E151" s="337"/>
      <c r="F151" s="493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</row>
    <row r="152" spans="1:23" ht="14.5" x14ac:dyDescent="0.35">
      <c r="A152" s="257"/>
      <c r="B152" s="257"/>
      <c r="C152" s="257"/>
      <c r="D152" s="257"/>
      <c r="E152" s="337"/>
      <c r="F152" s="493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</row>
    <row r="153" spans="1:23" ht="14.5" x14ac:dyDescent="0.35">
      <c r="A153" s="257"/>
      <c r="B153" s="257"/>
      <c r="C153" s="257"/>
      <c r="D153" s="257"/>
      <c r="E153" s="337"/>
      <c r="F153" s="493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</row>
    <row r="154" spans="1:23" ht="14.5" x14ac:dyDescent="0.35">
      <c r="A154" s="257"/>
      <c r="B154" s="257"/>
      <c r="C154" s="257"/>
      <c r="D154" s="257"/>
      <c r="E154" s="337"/>
      <c r="F154" s="493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</row>
    <row r="155" spans="1:23" ht="14.5" x14ac:dyDescent="0.35">
      <c r="A155" s="257"/>
      <c r="B155" s="257"/>
      <c r="C155" s="257"/>
      <c r="D155" s="257"/>
      <c r="E155" s="337"/>
      <c r="F155" s="493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</row>
    <row r="156" spans="1:23" ht="14.5" x14ac:dyDescent="0.35">
      <c r="A156" s="257"/>
      <c r="B156" s="257"/>
      <c r="C156" s="257"/>
      <c r="D156" s="257"/>
      <c r="E156" s="337"/>
      <c r="F156" s="493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</row>
    <row r="157" spans="1:23" ht="14.5" x14ac:dyDescent="0.35">
      <c r="A157" s="257"/>
      <c r="B157" s="257"/>
      <c r="C157" s="257"/>
      <c r="D157" s="257"/>
      <c r="E157" s="337"/>
      <c r="F157" s="493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</row>
    <row r="158" spans="1:23" ht="14.5" x14ac:dyDescent="0.35">
      <c r="A158" s="257"/>
      <c r="B158" s="257"/>
      <c r="C158" s="257"/>
      <c r="D158" s="257"/>
      <c r="E158" s="337"/>
      <c r="F158" s="493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</row>
    <row r="159" spans="1:23" ht="14.5" x14ac:dyDescent="0.35">
      <c r="A159" s="257"/>
      <c r="B159" s="257"/>
      <c r="C159" s="257"/>
      <c r="D159" s="257"/>
      <c r="E159" s="337"/>
      <c r="F159" s="493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</row>
    <row r="160" spans="1:23" ht="14.5" x14ac:dyDescent="0.35">
      <c r="A160" s="257"/>
      <c r="B160" s="257"/>
      <c r="C160" s="257"/>
      <c r="D160" s="257"/>
      <c r="E160" s="337"/>
      <c r="F160" s="493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</row>
    <row r="161" spans="1:23" ht="14.5" x14ac:dyDescent="0.35">
      <c r="A161" s="257"/>
      <c r="B161" s="257"/>
      <c r="C161" s="257"/>
      <c r="D161" s="257"/>
      <c r="E161" s="337"/>
      <c r="F161" s="493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</row>
    <row r="162" spans="1:23" ht="14.5" x14ac:dyDescent="0.35">
      <c r="A162" s="257"/>
      <c r="B162" s="257"/>
      <c r="C162" s="257"/>
      <c r="D162" s="257"/>
      <c r="E162" s="337"/>
      <c r="F162" s="493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</row>
    <row r="163" spans="1:23" ht="14.5" x14ac:dyDescent="0.35">
      <c r="A163" s="257"/>
      <c r="B163" s="257"/>
      <c r="C163" s="257"/>
      <c r="D163" s="257"/>
      <c r="E163" s="337"/>
      <c r="F163" s="493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</row>
    <row r="164" spans="1:23" ht="14.5" x14ac:dyDescent="0.35">
      <c r="A164" s="257"/>
      <c r="B164" s="257"/>
      <c r="C164" s="257"/>
      <c r="D164" s="257"/>
      <c r="E164" s="337"/>
      <c r="F164" s="493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</row>
    <row r="165" spans="1:23" ht="14.5" x14ac:dyDescent="0.35">
      <c r="A165" s="257"/>
      <c r="B165" s="257"/>
      <c r="C165" s="257"/>
      <c r="D165" s="257"/>
      <c r="E165" s="337"/>
      <c r="F165" s="493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</row>
    <row r="166" spans="1:23" ht="14.5" x14ac:dyDescent="0.35">
      <c r="A166" s="257"/>
      <c r="B166" s="257"/>
      <c r="C166" s="257"/>
      <c r="D166" s="257"/>
      <c r="E166" s="337"/>
      <c r="F166" s="493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</row>
    <row r="167" spans="1:23" ht="14.5" x14ac:dyDescent="0.35">
      <c r="A167" s="257"/>
      <c r="B167" s="257"/>
      <c r="C167" s="257"/>
      <c r="D167" s="257"/>
      <c r="E167" s="337"/>
      <c r="F167" s="493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</row>
    <row r="168" spans="1:23" ht="14.5" x14ac:dyDescent="0.35">
      <c r="A168" s="257"/>
      <c r="B168" s="257"/>
      <c r="C168" s="257"/>
      <c r="D168" s="257"/>
      <c r="E168" s="337"/>
      <c r="F168" s="493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</row>
    <row r="169" spans="1:23" ht="14.5" x14ac:dyDescent="0.35">
      <c r="A169" s="257"/>
      <c r="B169" s="257"/>
      <c r="C169" s="257"/>
      <c r="D169" s="257"/>
      <c r="E169" s="337"/>
      <c r="F169" s="493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</row>
    <row r="170" spans="1:23" ht="14.5" x14ac:dyDescent="0.35">
      <c r="A170" s="257"/>
      <c r="B170" s="257"/>
      <c r="C170" s="257"/>
      <c r="D170" s="257"/>
      <c r="E170" s="337"/>
      <c r="F170" s="493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</row>
    <row r="171" spans="1:23" ht="14.5" x14ac:dyDescent="0.35">
      <c r="A171" s="257"/>
      <c r="B171" s="257"/>
      <c r="C171" s="257"/>
      <c r="D171" s="257"/>
      <c r="E171" s="337"/>
      <c r="F171" s="493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</row>
    <row r="172" spans="1:23" ht="14.5" x14ac:dyDescent="0.35">
      <c r="A172" s="257"/>
      <c r="B172" s="257"/>
      <c r="C172" s="257"/>
      <c r="D172" s="257"/>
      <c r="E172" s="337"/>
      <c r="F172" s="493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</row>
    <row r="173" spans="1:23" ht="14.5" x14ac:dyDescent="0.35">
      <c r="A173" s="257"/>
      <c r="B173" s="257"/>
      <c r="C173" s="257"/>
      <c r="D173" s="257"/>
      <c r="E173" s="337"/>
      <c r="F173" s="493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</row>
    <row r="174" spans="1:23" ht="14.5" x14ac:dyDescent="0.35">
      <c r="A174" s="257"/>
      <c r="B174" s="257"/>
      <c r="C174" s="257"/>
      <c r="D174" s="257"/>
      <c r="E174" s="337"/>
      <c r="F174" s="493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</row>
    <row r="175" spans="1:23" ht="14.5" x14ac:dyDescent="0.35">
      <c r="A175" s="257"/>
      <c r="B175" s="257"/>
      <c r="C175" s="257"/>
      <c r="D175" s="257"/>
      <c r="E175" s="337"/>
      <c r="F175" s="493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</row>
    <row r="176" spans="1:23" ht="14.5" x14ac:dyDescent="0.35">
      <c r="A176" s="257"/>
      <c r="B176" s="257"/>
      <c r="C176" s="257"/>
      <c r="D176" s="257"/>
      <c r="E176" s="337"/>
      <c r="F176" s="493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</row>
    <row r="177" spans="1:23" ht="14.5" x14ac:dyDescent="0.35">
      <c r="A177" s="257"/>
      <c r="B177" s="257"/>
      <c r="C177" s="257"/>
      <c r="D177" s="257"/>
      <c r="E177" s="337"/>
      <c r="F177" s="493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</row>
    <row r="178" spans="1:23" ht="14.5" x14ac:dyDescent="0.35">
      <c r="A178" s="257"/>
      <c r="B178" s="257"/>
      <c r="C178" s="257"/>
      <c r="D178" s="257"/>
      <c r="E178" s="337"/>
      <c r="F178" s="493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</row>
    <row r="179" spans="1:23" ht="14.5" x14ac:dyDescent="0.35">
      <c r="A179" s="257"/>
      <c r="B179" s="257"/>
      <c r="C179" s="257"/>
      <c r="D179" s="257"/>
      <c r="E179" s="337"/>
      <c r="F179" s="493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</row>
    <row r="180" spans="1:23" ht="14.5" x14ac:dyDescent="0.35">
      <c r="A180" s="257"/>
      <c r="B180" s="257"/>
      <c r="C180" s="257"/>
      <c r="D180" s="257"/>
      <c r="E180" s="337"/>
      <c r="F180" s="493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</row>
    <row r="181" spans="1:23" ht="14.5" x14ac:dyDescent="0.35">
      <c r="A181" s="257"/>
      <c r="B181" s="257"/>
      <c r="C181" s="257"/>
      <c r="D181" s="257"/>
      <c r="E181" s="337"/>
      <c r="F181" s="493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</row>
    <row r="182" spans="1:23" ht="14.5" x14ac:dyDescent="0.35">
      <c r="A182" s="257"/>
      <c r="B182" s="257"/>
      <c r="C182" s="257"/>
      <c r="D182" s="257"/>
      <c r="E182" s="337"/>
      <c r="F182" s="493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</row>
    <row r="183" spans="1:23" ht="14.5" x14ac:dyDescent="0.35">
      <c r="A183" s="257"/>
      <c r="B183" s="257"/>
      <c r="C183" s="257"/>
      <c r="D183" s="257"/>
      <c r="E183" s="337"/>
      <c r="F183" s="493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</row>
    <row r="184" spans="1:23" ht="14.5" x14ac:dyDescent="0.35">
      <c r="A184" s="257"/>
      <c r="B184" s="257"/>
      <c r="C184" s="257"/>
      <c r="D184" s="257"/>
      <c r="E184" s="337"/>
      <c r="F184" s="493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</row>
    <row r="185" spans="1:23" ht="14.5" x14ac:dyDescent="0.35">
      <c r="A185" s="257"/>
      <c r="B185" s="257"/>
      <c r="C185" s="257"/>
      <c r="D185" s="257"/>
      <c r="E185" s="337"/>
      <c r="F185" s="493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</row>
    <row r="186" spans="1:23" ht="14.5" x14ac:dyDescent="0.35">
      <c r="A186" s="257"/>
      <c r="B186" s="257"/>
      <c r="C186" s="257"/>
      <c r="D186" s="257"/>
      <c r="E186" s="337"/>
      <c r="F186" s="493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</row>
    <row r="187" spans="1:23" ht="14.5" x14ac:dyDescent="0.35">
      <c r="A187" s="257"/>
      <c r="B187" s="257"/>
      <c r="C187" s="257"/>
      <c r="D187" s="257"/>
      <c r="E187" s="337"/>
      <c r="F187" s="493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</row>
    <row r="188" spans="1:23" ht="14.5" x14ac:dyDescent="0.35">
      <c r="A188" s="257"/>
      <c r="B188" s="257"/>
      <c r="C188" s="257"/>
      <c r="D188" s="257"/>
      <c r="E188" s="337"/>
      <c r="F188" s="493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</row>
    <row r="189" spans="1:23" ht="14.5" x14ac:dyDescent="0.35">
      <c r="A189" s="257"/>
      <c r="B189" s="257"/>
      <c r="C189" s="257"/>
      <c r="D189" s="257"/>
      <c r="E189" s="337"/>
      <c r="F189" s="493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</row>
    <row r="190" spans="1:23" ht="14.5" x14ac:dyDescent="0.35">
      <c r="A190" s="257"/>
      <c r="B190" s="257"/>
      <c r="C190" s="257"/>
      <c r="D190" s="257"/>
      <c r="E190" s="337"/>
      <c r="F190" s="493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</row>
    <row r="191" spans="1:23" ht="14.5" x14ac:dyDescent="0.35">
      <c r="A191" s="257"/>
      <c r="B191" s="257"/>
      <c r="C191" s="257"/>
      <c r="D191" s="257"/>
      <c r="E191" s="337"/>
      <c r="F191" s="493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</row>
    <row r="192" spans="1:23" ht="14.5" x14ac:dyDescent="0.35">
      <c r="A192" s="257"/>
      <c r="B192" s="257"/>
      <c r="C192" s="257"/>
      <c r="D192" s="257"/>
      <c r="E192" s="337"/>
      <c r="F192" s="493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</row>
    <row r="193" spans="1:23" ht="14.5" x14ac:dyDescent="0.35">
      <c r="A193" s="257"/>
      <c r="B193" s="257"/>
      <c r="C193" s="257"/>
      <c r="D193" s="257"/>
      <c r="E193" s="337"/>
      <c r="F193" s="493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</row>
    <row r="194" spans="1:23" ht="14.5" x14ac:dyDescent="0.35">
      <c r="A194" s="257"/>
      <c r="B194" s="257"/>
      <c r="C194" s="257"/>
      <c r="D194" s="257"/>
      <c r="E194" s="337"/>
      <c r="F194" s="493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</row>
    <row r="195" spans="1:23" ht="14.5" x14ac:dyDescent="0.35">
      <c r="A195" s="257"/>
      <c r="B195" s="257"/>
      <c r="C195" s="257"/>
      <c r="D195" s="257"/>
      <c r="E195" s="337"/>
      <c r="F195" s="49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</row>
    <row r="196" spans="1:23" ht="14.5" x14ac:dyDescent="0.35">
      <c r="A196" s="257"/>
      <c r="B196" s="257"/>
      <c r="C196" s="257"/>
      <c r="D196" s="257"/>
      <c r="E196" s="337"/>
      <c r="F196" s="493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</row>
    <row r="197" spans="1:23" ht="14.5" x14ac:dyDescent="0.35">
      <c r="A197" s="257"/>
      <c r="B197" s="257"/>
      <c r="C197" s="257"/>
      <c r="D197" s="257"/>
      <c r="E197" s="337"/>
      <c r="F197" s="493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</row>
    <row r="198" spans="1:23" ht="14.5" x14ac:dyDescent="0.35">
      <c r="A198" s="257"/>
      <c r="B198" s="257"/>
      <c r="C198" s="257"/>
      <c r="D198" s="257"/>
      <c r="E198" s="337"/>
      <c r="F198" s="493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</row>
    <row r="199" spans="1:23" ht="14.5" x14ac:dyDescent="0.35">
      <c r="A199" s="257"/>
      <c r="B199" s="257"/>
      <c r="C199" s="257"/>
      <c r="D199" s="257"/>
      <c r="E199" s="337"/>
      <c r="F199" s="493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</row>
    <row r="200" spans="1:23" ht="14.5" x14ac:dyDescent="0.35">
      <c r="A200" s="257"/>
      <c r="B200" s="257"/>
      <c r="C200" s="257"/>
      <c r="D200" s="257"/>
      <c r="E200" s="337"/>
      <c r="F200" s="493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</row>
    <row r="201" spans="1:23" ht="14.5" x14ac:dyDescent="0.35">
      <c r="A201" s="257"/>
      <c r="B201" s="257"/>
      <c r="C201" s="257"/>
      <c r="D201" s="257"/>
      <c r="E201" s="337"/>
      <c r="F201" s="493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</row>
    <row r="202" spans="1:23" ht="14.5" x14ac:dyDescent="0.35">
      <c r="A202" s="257"/>
      <c r="B202" s="257"/>
      <c r="C202" s="257"/>
      <c r="D202" s="257"/>
      <c r="E202" s="337"/>
      <c r="F202" s="493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</row>
    <row r="203" spans="1:23" ht="14.5" x14ac:dyDescent="0.35">
      <c r="A203" s="257"/>
      <c r="B203" s="257"/>
      <c r="C203" s="257"/>
      <c r="D203" s="257"/>
      <c r="E203" s="337"/>
      <c r="F203" s="493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</row>
    <row r="204" spans="1:23" ht="14.5" x14ac:dyDescent="0.35">
      <c r="A204" s="257"/>
      <c r="B204" s="257"/>
      <c r="C204" s="257"/>
      <c r="D204" s="257"/>
      <c r="E204" s="337"/>
      <c r="F204" s="493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</row>
    <row r="205" spans="1:23" ht="14.5" x14ac:dyDescent="0.35">
      <c r="A205" s="257"/>
      <c r="B205" s="257"/>
      <c r="C205" s="257"/>
      <c r="D205" s="257"/>
      <c r="E205" s="337"/>
      <c r="F205" s="493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</row>
    <row r="206" spans="1:23" ht="14.5" x14ac:dyDescent="0.35">
      <c r="A206" s="257"/>
      <c r="B206" s="257"/>
      <c r="C206" s="257"/>
      <c r="D206" s="257"/>
      <c r="E206" s="337"/>
      <c r="F206" s="493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</row>
    <row r="207" spans="1:23" ht="14.5" x14ac:dyDescent="0.35">
      <c r="A207" s="257"/>
      <c r="B207" s="257"/>
      <c r="C207" s="257"/>
      <c r="D207" s="257"/>
      <c r="E207" s="337"/>
      <c r="F207" s="493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</row>
    <row r="208" spans="1:23" ht="14.5" x14ac:dyDescent="0.35">
      <c r="A208" s="257"/>
      <c r="B208" s="257"/>
      <c r="C208" s="257"/>
      <c r="D208" s="257"/>
      <c r="E208" s="337"/>
      <c r="F208" s="493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</row>
    <row r="209" spans="1:23" ht="14.5" x14ac:dyDescent="0.35">
      <c r="A209" s="257"/>
      <c r="B209" s="257"/>
      <c r="C209" s="257"/>
      <c r="D209" s="257"/>
      <c r="E209" s="337"/>
      <c r="F209" s="493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</row>
    <row r="210" spans="1:23" ht="14.5" x14ac:dyDescent="0.35">
      <c r="A210" s="257"/>
      <c r="B210" s="257"/>
      <c r="C210" s="257"/>
      <c r="D210" s="257"/>
      <c r="E210" s="337"/>
      <c r="F210" s="493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</row>
    <row r="211" spans="1:23" ht="14.5" x14ac:dyDescent="0.35">
      <c r="A211" s="257"/>
      <c r="B211" s="257"/>
      <c r="C211" s="257"/>
      <c r="D211" s="257"/>
      <c r="E211" s="337"/>
      <c r="F211" s="493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</row>
    <row r="212" spans="1:23" ht="14.5" x14ac:dyDescent="0.35">
      <c r="A212" s="257"/>
      <c r="B212" s="257"/>
      <c r="C212" s="257"/>
      <c r="D212" s="257"/>
      <c r="E212" s="337"/>
      <c r="F212" s="493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</row>
    <row r="213" spans="1:23" ht="14.5" x14ac:dyDescent="0.35">
      <c r="A213" s="257"/>
      <c r="B213" s="257"/>
      <c r="C213" s="257"/>
      <c r="D213" s="257"/>
      <c r="E213" s="337"/>
      <c r="F213" s="493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</row>
    <row r="214" spans="1:23" ht="14.5" x14ac:dyDescent="0.35">
      <c r="A214" s="257"/>
      <c r="B214" s="257"/>
      <c r="C214" s="257"/>
      <c r="D214" s="257"/>
      <c r="E214" s="337"/>
      <c r="F214" s="493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</row>
    <row r="215" spans="1:23" ht="14.5" x14ac:dyDescent="0.35">
      <c r="A215" s="257"/>
      <c r="B215" s="257"/>
      <c r="C215" s="257"/>
      <c r="D215" s="257"/>
      <c r="E215" s="337"/>
      <c r="F215" s="493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</row>
    <row r="216" spans="1:23" ht="14.5" x14ac:dyDescent="0.35">
      <c r="A216" s="257"/>
      <c r="B216" s="257"/>
      <c r="C216" s="257"/>
      <c r="D216" s="257"/>
      <c r="E216" s="337"/>
      <c r="F216" s="493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</row>
    <row r="217" spans="1:23" ht="14.5" x14ac:dyDescent="0.35">
      <c r="A217" s="257"/>
      <c r="B217" s="257"/>
      <c r="C217" s="257"/>
      <c r="D217" s="257"/>
      <c r="E217" s="337"/>
      <c r="F217" s="493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</row>
    <row r="218" spans="1:23" ht="14.5" x14ac:dyDescent="0.35">
      <c r="A218" s="257"/>
      <c r="B218" s="257"/>
      <c r="C218" s="257"/>
      <c r="D218" s="257"/>
      <c r="E218" s="337"/>
      <c r="F218" s="493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</row>
    <row r="219" spans="1:23" ht="14.5" x14ac:dyDescent="0.35">
      <c r="A219" s="257"/>
      <c r="B219" s="257"/>
      <c r="C219" s="257"/>
      <c r="D219" s="257"/>
      <c r="E219" s="337"/>
      <c r="F219" s="493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</row>
    <row r="220" spans="1:23" ht="14.5" x14ac:dyDescent="0.35">
      <c r="A220" s="257"/>
      <c r="B220" s="257"/>
      <c r="C220" s="257"/>
      <c r="D220" s="257"/>
      <c r="E220" s="337"/>
      <c r="F220" s="493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</row>
    <row r="221" spans="1:23" ht="14.5" x14ac:dyDescent="0.35">
      <c r="A221" s="257"/>
      <c r="B221" s="257"/>
      <c r="C221" s="257"/>
      <c r="D221" s="257"/>
      <c r="E221" s="337"/>
      <c r="F221" s="493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</row>
    <row r="222" spans="1:23" ht="14.5" x14ac:dyDescent="0.35">
      <c r="A222" s="257"/>
      <c r="B222" s="257"/>
      <c r="C222" s="257"/>
      <c r="D222" s="257"/>
      <c r="E222" s="337"/>
      <c r="F222" s="493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</row>
    <row r="223" spans="1:23" ht="14.5" x14ac:dyDescent="0.35">
      <c r="A223" s="257"/>
      <c r="B223" s="257"/>
      <c r="C223" s="257"/>
      <c r="D223" s="257"/>
      <c r="E223" s="337"/>
      <c r="F223" s="493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</row>
    <row r="224" spans="1:23" ht="14.5" x14ac:dyDescent="0.35">
      <c r="A224" s="257"/>
      <c r="B224" s="257"/>
      <c r="C224" s="257"/>
      <c r="D224" s="257"/>
      <c r="E224" s="337"/>
      <c r="F224" s="493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</row>
    <row r="225" spans="1:23" ht="14.5" x14ac:dyDescent="0.35">
      <c r="A225" s="257"/>
      <c r="B225" s="257"/>
      <c r="C225" s="257"/>
      <c r="D225" s="257"/>
      <c r="E225" s="337"/>
      <c r="F225" s="493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</row>
    <row r="226" spans="1:23" ht="14.5" x14ac:dyDescent="0.35">
      <c r="A226" s="257"/>
      <c r="B226" s="257"/>
      <c r="C226" s="257"/>
      <c r="D226" s="257"/>
      <c r="E226" s="337"/>
      <c r="F226" s="493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</row>
    <row r="227" spans="1:23" ht="14.5" x14ac:dyDescent="0.35">
      <c r="A227" s="257"/>
      <c r="B227" s="257"/>
      <c r="C227" s="257"/>
      <c r="D227" s="257"/>
      <c r="E227" s="337"/>
      <c r="F227" s="493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</row>
    <row r="228" spans="1:23" ht="14.5" x14ac:dyDescent="0.35">
      <c r="A228" s="257"/>
      <c r="B228" s="257"/>
      <c r="C228" s="257"/>
      <c r="D228" s="257"/>
      <c r="E228" s="337"/>
      <c r="F228" s="493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</row>
    <row r="229" spans="1:23" ht="14.5" x14ac:dyDescent="0.35">
      <c r="A229" s="257"/>
      <c r="B229" s="257"/>
      <c r="C229" s="257"/>
      <c r="D229" s="257"/>
      <c r="E229" s="337"/>
      <c r="F229" s="493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</row>
    <row r="230" spans="1:23" ht="14.5" x14ac:dyDescent="0.35">
      <c r="A230" s="257"/>
      <c r="B230" s="257"/>
      <c r="C230" s="257"/>
      <c r="D230" s="257"/>
      <c r="E230" s="337"/>
      <c r="F230" s="493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</row>
    <row r="231" spans="1:23" ht="14.5" x14ac:dyDescent="0.35">
      <c r="A231" s="257"/>
      <c r="B231" s="257"/>
      <c r="C231" s="257"/>
      <c r="D231" s="257"/>
      <c r="E231" s="337"/>
      <c r="F231" s="493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</row>
    <row r="232" spans="1:23" ht="14.5" x14ac:dyDescent="0.35">
      <c r="A232" s="257"/>
      <c r="B232" s="257"/>
      <c r="C232" s="257"/>
      <c r="D232" s="257"/>
      <c r="E232" s="337"/>
      <c r="F232" s="493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</row>
    <row r="233" spans="1:23" ht="14.5" x14ac:dyDescent="0.35">
      <c r="A233" s="257"/>
      <c r="B233" s="257"/>
      <c r="C233" s="257"/>
      <c r="D233" s="257"/>
      <c r="E233" s="337"/>
      <c r="F233" s="493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</row>
    <row r="234" spans="1:23" ht="14.5" x14ac:dyDescent="0.35">
      <c r="A234" s="257"/>
      <c r="B234" s="257"/>
      <c r="C234" s="257"/>
      <c r="D234" s="257"/>
      <c r="E234" s="337"/>
      <c r="F234" s="493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</row>
    <row r="235" spans="1:23" ht="14.5" x14ac:dyDescent="0.35">
      <c r="A235" s="257"/>
      <c r="B235" s="257"/>
      <c r="C235" s="257"/>
      <c r="D235" s="257"/>
      <c r="E235" s="337"/>
      <c r="F235" s="493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</row>
    <row r="236" spans="1:23" ht="14.5" x14ac:dyDescent="0.35">
      <c r="A236" s="257"/>
      <c r="B236" s="257"/>
      <c r="C236" s="257"/>
      <c r="D236" s="257"/>
      <c r="E236" s="337"/>
      <c r="F236" s="493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</row>
    <row r="237" spans="1:23" ht="14.5" x14ac:dyDescent="0.35">
      <c r="A237" s="257"/>
      <c r="B237" s="257"/>
      <c r="C237" s="257"/>
      <c r="D237" s="257"/>
      <c r="E237" s="337"/>
      <c r="F237" s="493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</row>
    <row r="238" spans="1:23" ht="14.5" x14ac:dyDescent="0.35">
      <c r="A238" s="257"/>
      <c r="B238" s="257"/>
      <c r="C238" s="257"/>
      <c r="D238" s="257"/>
      <c r="E238" s="337"/>
      <c r="F238" s="493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</row>
    <row r="239" spans="1:23" ht="14.5" x14ac:dyDescent="0.35">
      <c r="A239" s="257"/>
      <c r="B239" s="257"/>
      <c r="C239" s="257"/>
      <c r="D239" s="257"/>
      <c r="E239" s="337"/>
      <c r="F239" s="493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</row>
    <row r="240" spans="1:23" ht="14.5" x14ac:dyDescent="0.35">
      <c r="A240" s="257"/>
      <c r="B240" s="257"/>
      <c r="C240" s="257"/>
      <c r="D240" s="257"/>
      <c r="E240" s="337"/>
      <c r="F240" s="493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</row>
    <row r="241" spans="1:23" ht="14.5" x14ac:dyDescent="0.35">
      <c r="A241" s="257"/>
      <c r="B241" s="257"/>
      <c r="C241" s="257"/>
      <c r="D241" s="257"/>
      <c r="E241" s="337"/>
      <c r="F241" s="493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</row>
    <row r="242" spans="1:23" ht="14.5" x14ac:dyDescent="0.35">
      <c r="A242" s="257"/>
      <c r="B242" s="257"/>
      <c r="C242" s="257"/>
      <c r="D242" s="257"/>
      <c r="E242" s="337"/>
      <c r="F242" s="493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</row>
    <row r="243" spans="1:23" ht="14.5" x14ac:dyDescent="0.35">
      <c r="A243" s="257"/>
      <c r="B243" s="257"/>
      <c r="C243" s="257"/>
      <c r="D243" s="257"/>
      <c r="E243" s="337"/>
      <c r="F243" s="493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</row>
    <row r="244" spans="1:23" ht="14.5" x14ac:dyDescent="0.35">
      <c r="A244" s="257"/>
      <c r="B244" s="257"/>
      <c r="C244" s="257"/>
      <c r="D244" s="257"/>
      <c r="E244" s="337"/>
      <c r="F244" s="493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</row>
    <row r="245" spans="1:23" ht="14.5" x14ac:dyDescent="0.35">
      <c r="A245" s="257"/>
      <c r="B245" s="257"/>
      <c r="C245" s="257"/>
      <c r="D245" s="257"/>
      <c r="E245" s="337"/>
      <c r="F245" s="493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</row>
    <row r="246" spans="1:23" ht="14.5" x14ac:dyDescent="0.35">
      <c r="A246" s="257"/>
      <c r="B246" s="257"/>
      <c r="C246" s="257"/>
      <c r="D246" s="257"/>
      <c r="E246" s="337"/>
      <c r="F246" s="493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</row>
    <row r="247" spans="1:23" ht="14.5" x14ac:dyDescent="0.35">
      <c r="A247" s="257"/>
      <c r="B247" s="257"/>
      <c r="C247" s="257"/>
      <c r="D247" s="257"/>
      <c r="E247" s="337"/>
      <c r="F247" s="493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</row>
    <row r="248" spans="1:23" ht="14.5" x14ac:dyDescent="0.35">
      <c r="A248" s="257"/>
      <c r="B248" s="257"/>
      <c r="C248" s="257"/>
      <c r="D248" s="257"/>
      <c r="E248" s="337"/>
      <c r="F248" s="493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</row>
    <row r="249" spans="1:23" ht="14.5" x14ac:dyDescent="0.35">
      <c r="A249" s="257"/>
      <c r="B249" s="257"/>
      <c r="C249" s="257"/>
      <c r="D249" s="257"/>
      <c r="E249" s="337"/>
      <c r="F249" s="493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</row>
    <row r="250" spans="1:23" ht="14.5" x14ac:dyDescent="0.35">
      <c r="A250" s="257"/>
      <c r="B250" s="257"/>
      <c r="C250" s="257"/>
      <c r="D250" s="257"/>
      <c r="E250" s="337"/>
      <c r="F250" s="493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</row>
    <row r="251" spans="1:23" ht="14.5" x14ac:dyDescent="0.35">
      <c r="A251" s="257"/>
      <c r="B251" s="257"/>
      <c r="C251" s="257"/>
      <c r="D251" s="257"/>
      <c r="E251" s="337"/>
      <c r="F251" s="493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</row>
    <row r="252" spans="1:23" ht="14.5" x14ac:dyDescent="0.35">
      <c r="A252" s="257"/>
      <c r="B252" s="257"/>
      <c r="C252" s="257"/>
      <c r="D252" s="257"/>
      <c r="E252" s="337"/>
      <c r="F252" s="493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</row>
    <row r="253" spans="1:23" ht="14.5" x14ac:dyDescent="0.35">
      <c r="A253" s="257"/>
      <c r="B253" s="257"/>
      <c r="C253" s="257"/>
      <c r="D253" s="257"/>
      <c r="E253" s="337"/>
      <c r="F253" s="493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</row>
    <row r="254" spans="1:23" ht="14.5" x14ac:dyDescent="0.35">
      <c r="A254" s="257"/>
      <c r="B254" s="257"/>
      <c r="C254" s="257"/>
      <c r="D254" s="257"/>
      <c r="E254" s="337"/>
      <c r="F254" s="493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</row>
    <row r="255" spans="1:23" ht="14.5" x14ac:dyDescent="0.35">
      <c r="A255" s="257"/>
      <c r="B255" s="257"/>
      <c r="C255" s="257"/>
      <c r="D255" s="257"/>
      <c r="E255" s="337"/>
      <c r="F255" s="493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</row>
    <row r="256" spans="1:23" ht="14.5" x14ac:dyDescent="0.35">
      <c r="A256" s="257"/>
      <c r="B256" s="257"/>
      <c r="C256" s="257"/>
      <c r="D256" s="257"/>
      <c r="E256" s="337"/>
      <c r="F256" s="493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</row>
    <row r="257" spans="1:23" ht="14.5" x14ac:dyDescent="0.35">
      <c r="A257" s="257"/>
      <c r="B257" s="257"/>
      <c r="C257" s="257"/>
      <c r="D257" s="257"/>
      <c r="E257" s="337"/>
      <c r="F257" s="493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</row>
    <row r="258" spans="1:23" ht="14.5" x14ac:dyDescent="0.35">
      <c r="A258" s="257"/>
      <c r="B258" s="257"/>
      <c r="C258" s="257"/>
      <c r="D258" s="257"/>
      <c r="E258" s="337"/>
      <c r="F258" s="493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</row>
    <row r="259" spans="1:23" ht="14.5" x14ac:dyDescent="0.35">
      <c r="A259" s="257"/>
      <c r="B259" s="257"/>
      <c r="C259" s="257"/>
      <c r="D259" s="257"/>
      <c r="E259" s="337"/>
      <c r="F259" s="493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</row>
    <row r="260" spans="1:23" ht="14.5" x14ac:dyDescent="0.35">
      <c r="A260" s="257"/>
      <c r="B260" s="257"/>
      <c r="C260" s="257"/>
      <c r="D260" s="257"/>
      <c r="E260" s="337"/>
      <c r="F260" s="493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</row>
    <row r="261" spans="1:23" ht="14.5" x14ac:dyDescent="0.35">
      <c r="A261" s="257"/>
      <c r="B261" s="257"/>
      <c r="C261" s="257"/>
      <c r="D261" s="257"/>
      <c r="E261" s="337"/>
      <c r="F261" s="493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</row>
    <row r="262" spans="1:23" ht="14.5" x14ac:dyDescent="0.35">
      <c r="A262" s="257"/>
      <c r="B262" s="257"/>
      <c r="C262" s="257"/>
      <c r="D262" s="257"/>
      <c r="E262" s="337"/>
      <c r="F262" s="493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</row>
    <row r="263" spans="1:23" ht="14.5" x14ac:dyDescent="0.35">
      <c r="A263" s="257"/>
      <c r="B263" s="257"/>
      <c r="C263" s="257"/>
      <c r="D263" s="257"/>
      <c r="E263" s="337"/>
      <c r="F263" s="493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</row>
    <row r="264" spans="1:23" ht="14.5" x14ac:dyDescent="0.35">
      <c r="A264" s="257"/>
      <c r="B264" s="257"/>
      <c r="C264" s="257"/>
      <c r="D264" s="257"/>
      <c r="E264" s="337"/>
      <c r="F264" s="493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</row>
    <row r="265" spans="1:23" ht="14.5" x14ac:dyDescent="0.35">
      <c r="A265" s="257"/>
      <c r="B265" s="257"/>
      <c r="C265" s="257"/>
      <c r="D265" s="257"/>
      <c r="E265" s="337"/>
      <c r="F265" s="493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</row>
    <row r="266" spans="1:23" ht="14.5" x14ac:dyDescent="0.35">
      <c r="A266" s="257"/>
      <c r="B266" s="257"/>
      <c r="C266" s="257"/>
      <c r="D266" s="257"/>
      <c r="E266" s="337"/>
      <c r="F266" s="493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</row>
    <row r="267" spans="1:23" ht="14.5" x14ac:dyDescent="0.35">
      <c r="A267" s="257"/>
      <c r="B267" s="257"/>
      <c r="C267" s="257"/>
      <c r="D267" s="257"/>
      <c r="E267" s="337"/>
      <c r="F267" s="493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</row>
    <row r="268" spans="1:23" ht="14.5" x14ac:dyDescent="0.35">
      <c r="A268" s="217"/>
      <c r="B268" s="257"/>
      <c r="C268" s="257"/>
      <c r="D268" s="257"/>
      <c r="E268" s="337"/>
      <c r="F268" s="493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</row>
    <row r="269" spans="1:23" ht="14.5" x14ac:dyDescent="0.35">
      <c r="A269" s="217"/>
      <c r="B269" s="257"/>
      <c r="C269" s="257"/>
      <c r="D269" s="257"/>
      <c r="E269" s="337"/>
      <c r="F269" s="493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</row>
    <row r="270" spans="1:23" ht="14.5" x14ac:dyDescent="0.35">
      <c r="A270" s="217"/>
      <c r="B270" s="257"/>
      <c r="C270" s="257"/>
      <c r="D270" s="257"/>
      <c r="E270" s="337"/>
      <c r="F270" s="493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</row>
    <row r="271" spans="1:23" ht="14.5" x14ac:dyDescent="0.35">
      <c r="A271" s="217"/>
      <c r="B271" s="257"/>
      <c r="C271" s="257"/>
      <c r="D271" s="257"/>
      <c r="E271" s="337"/>
      <c r="F271" s="493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</row>
    <row r="272" spans="1:23" ht="14.5" x14ac:dyDescent="0.35">
      <c r="A272" s="217"/>
      <c r="B272" s="257"/>
      <c r="C272" s="257"/>
      <c r="D272" s="257"/>
      <c r="E272" s="337"/>
      <c r="F272" s="493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</row>
    <row r="273" spans="1:23" ht="14.5" x14ac:dyDescent="0.35">
      <c r="A273" s="217"/>
      <c r="B273" s="257"/>
      <c r="C273" s="257"/>
      <c r="D273" s="257"/>
      <c r="E273" s="337"/>
      <c r="F273" s="493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</row>
    <row r="274" spans="1:23" ht="14.5" x14ac:dyDescent="0.35">
      <c r="A274" s="217"/>
      <c r="B274" s="257"/>
      <c r="C274" s="257"/>
      <c r="D274" s="257"/>
      <c r="E274" s="337"/>
      <c r="F274" s="493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</row>
    <row r="275" spans="1:23" ht="14.5" x14ac:dyDescent="0.35">
      <c r="A275" s="217"/>
      <c r="B275" s="257"/>
      <c r="C275" s="257"/>
      <c r="D275" s="257"/>
      <c r="E275" s="337"/>
      <c r="F275" s="493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</row>
    <row r="276" spans="1:23" ht="14.5" x14ac:dyDescent="0.35">
      <c r="A276" s="217"/>
      <c r="B276" s="257"/>
      <c r="C276" s="257"/>
      <c r="D276" s="257"/>
      <c r="E276" s="337"/>
      <c r="F276" s="493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</row>
    <row r="277" spans="1:23" ht="14.5" x14ac:dyDescent="0.35">
      <c r="A277" s="217"/>
      <c r="B277" s="257"/>
      <c r="C277" s="257"/>
      <c r="D277" s="257"/>
      <c r="E277" s="337"/>
      <c r="F277" s="493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</row>
    <row r="278" spans="1:23" ht="14.5" x14ac:dyDescent="0.35">
      <c r="A278" s="217"/>
      <c r="B278" s="257"/>
      <c r="C278" s="257"/>
      <c r="D278" s="257"/>
      <c r="E278" s="337"/>
      <c r="F278" s="493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</row>
    <row r="279" spans="1:23" ht="14.5" x14ac:dyDescent="0.35">
      <c r="A279" s="217"/>
      <c r="B279" s="257"/>
      <c r="C279" s="257"/>
      <c r="D279" s="257"/>
      <c r="E279" s="337"/>
      <c r="F279" s="493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</row>
    <row r="280" spans="1:23" ht="14.5" x14ac:dyDescent="0.35">
      <c r="A280" s="217"/>
      <c r="B280" s="257"/>
      <c r="C280" s="257"/>
      <c r="D280" s="257"/>
      <c r="E280" s="337"/>
      <c r="F280" s="493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</row>
    <row r="281" spans="1:23" ht="14.5" x14ac:dyDescent="0.35">
      <c r="A281" s="217"/>
      <c r="B281" s="257"/>
      <c r="C281" s="257"/>
      <c r="D281" s="257"/>
      <c r="E281" s="337"/>
      <c r="F281" s="493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</row>
    <row r="282" spans="1:23" ht="14.5" x14ac:dyDescent="0.35">
      <c r="A282" s="217"/>
      <c r="B282" s="257"/>
      <c r="C282" s="257"/>
      <c r="D282" s="257"/>
      <c r="E282" s="337"/>
      <c r="F282" s="493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</row>
    <row r="283" spans="1:23" ht="14.5" x14ac:dyDescent="0.35">
      <c r="A283" s="217"/>
      <c r="B283" s="257"/>
      <c r="C283" s="257"/>
      <c r="D283" s="257"/>
      <c r="E283" s="337"/>
      <c r="F283" s="493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</row>
    <row r="284" spans="1:23" ht="14.5" x14ac:dyDescent="0.35">
      <c r="A284" s="217"/>
      <c r="B284" s="257"/>
      <c r="C284" s="257"/>
      <c r="D284" s="257"/>
      <c r="E284" s="337"/>
      <c r="F284" s="493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</row>
    <row r="285" spans="1:23" ht="14.5" x14ac:dyDescent="0.35">
      <c r="A285" s="217"/>
      <c r="B285" s="257"/>
      <c r="C285" s="257"/>
      <c r="D285" s="257"/>
      <c r="E285" s="337"/>
      <c r="F285" s="493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</row>
    <row r="286" spans="1:23" ht="14.5" x14ac:dyDescent="0.35">
      <c r="A286" s="217"/>
      <c r="B286" s="257"/>
      <c r="C286" s="257"/>
      <c r="D286" s="257"/>
      <c r="E286" s="337"/>
      <c r="F286" s="493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</row>
    <row r="287" spans="1:23" ht="14.5" x14ac:dyDescent="0.35">
      <c r="A287" s="217"/>
      <c r="B287" s="257"/>
      <c r="C287" s="257"/>
      <c r="D287" s="257"/>
      <c r="E287" s="337"/>
      <c r="F287" s="493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</row>
    <row r="288" spans="1:23" ht="14.5" x14ac:dyDescent="0.35">
      <c r="A288" s="217"/>
      <c r="B288" s="257"/>
      <c r="C288" s="257"/>
      <c r="D288" s="257"/>
      <c r="E288" s="337"/>
      <c r="F288" s="493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</row>
    <row r="289" spans="1:23" ht="14.5" x14ac:dyDescent="0.35">
      <c r="A289" s="217"/>
      <c r="B289" s="257"/>
      <c r="C289" s="257"/>
      <c r="D289" s="257"/>
      <c r="E289" s="337"/>
      <c r="F289" s="49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</row>
    <row r="290" spans="1:23" ht="14.5" x14ac:dyDescent="0.35">
      <c r="A290" s="217"/>
      <c r="B290" s="257"/>
      <c r="C290" s="257"/>
      <c r="D290" s="257"/>
      <c r="E290" s="337"/>
      <c r="F290" s="493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</row>
    <row r="291" spans="1:23" ht="14.5" x14ac:dyDescent="0.35">
      <c r="A291" s="217"/>
      <c r="B291" s="257"/>
      <c r="C291" s="257"/>
      <c r="D291" s="257"/>
      <c r="E291" s="337"/>
      <c r="F291" s="493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</row>
    <row r="292" spans="1:23" ht="14.5" x14ac:dyDescent="0.35">
      <c r="A292" s="217"/>
      <c r="B292" s="257"/>
      <c r="C292" s="257"/>
      <c r="D292" s="257"/>
      <c r="E292" s="337"/>
      <c r="F292" s="493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</row>
    <row r="293" spans="1:23" ht="14.5" x14ac:dyDescent="0.35">
      <c r="A293" s="217"/>
      <c r="B293" s="257"/>
      <c r="C293" s="257"/>
      <c r="D293" s="257"/>
      <c r="E293" s="337"/>
      <c r="F293" s="493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</row>
    <row r="294" spans="1:23" ht="14.5" x14ac:dyDescent="0.35">
      <c r="A294" s="217"/>
      <c r="B294" s="257"/>
      <c r="C294" s="257"/>
      <c r="D294" s="257"/>
      <c r="E294" s="337"/>
      <c r="F294" s="493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</row>
    <row r="295" spans="1:23" ht="14.5" x14ac:dyDescent="0.35">
      <c r="A295" s="217"/>
      <c r="B295" s="257"/>
      <c r="C295" s="257"/>
      <c r="D295" s="257"/>
      <c r="E295" s="337"/>
      <c r="F295" s="493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</row>
    <row r="296" spans="1:23" ht="14.5" x14ac:dyDescent="0.35">
      <c r="A296" s="217"/>
      <c r="B296" s="257"/>
      <c r="C296" s="257"/>
      <c r="D296" s="257"/>
      <c r="E296" s="337"/>
      <c r="F296" s="493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</row>
    <row r="297" spans="1:23" ht="14.5" x14ac:dyDescent="0.35">
      <c r="A297" s="217"/>
      <c r="B297" s="257"/>
      <c r="C297" s="257"/>
      <c r="D297" s="257"/>
      <c r="E297" s="337"/>
      <c r="F297" s="493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</row>
    <row r="298" spans="1:23" ht="14.5" x14ac:dyDescent="0.35">
      <c r="A298" s="217"/>
      <c r="B298" s="257"/>
      <c r="C298" s="257"/>
      <c r="D298" s="257"/>
      <c r="E298" s="337"/>
      <c r="F298" s="493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</row>
    <row r="299" spans="1:23" ht="14.5" x14ac:dyDescent="0.35">
      <c r="A299" s="217"/>
      <c r="B299" s="257"/>
      <c r="C299" s="257"/>
      <c r="D299" s="257"/>
      <c r="E299" s="337"/>
      <c r="F299" s="493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</row>
    <row r="300" spans="1:23" ht="14.5" x14ac:dyDescent="0.35">
      <c r="A300" s="217"/>
      <c r="B300" s="257"/>
      <c r="C300" s="257"/>
      <c r="D300" s="257"/>
      <c r="E300" s="337"/>
      <c r="F300" s="493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</row>
    <row r="301" spans="1:23" ht="14.5" x14ac:dyDescent="0.35">
      <c r="A301" s="217"/>
      <c r="B301" s="257"/>
      <c r="C301" s="257"/>
      <c r="D301" s="257"/>
      <c r="E301" s="337"/>
      <c r="F301" s="493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</row>
    <row r="302" spans="1:23" ht="14.5" x14ac:dyDescent="0.35">
      <c r="A302" s="217"/>
      <c r="B302" s="257"/>
      <c r="C302" s="257"/>
      <c r="D302" s="257"/>
      <c r="E302" s="337"/>
      <c r="F302" s="493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</row>
    <row r="303" spans="1:23" ht="14.5" x14ac:dyDescent="0.35">
      <c r="A303" s="217"/>
      <c r="B303" s="257"/>
      <c r="C303" s="257"/>
      <c r="D303" s="257"/>
      <c r="E303" s="337"/>
      <c r="F303" s="493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</row>
    <row r="304" spans="1:23" ht="14.5" x14ac:dyDescent="0.35">
      <c r="A304" s="217"/>
      <c r="B304" s="257"/>
      <c r="C304" s="257"/>
      <c r="D304" s="257"/>
      <c r="E304" s="337"/>
      <c r="F304" s="493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</row>
    <row r="305" spans="1:23" ht="14.5" x14ac:dyDescent="0.35">
      <c r="A305" s="217"/>
      <c r="B305" s="257"/>
      <c r="C305" s="257"/>
      <c r="D305" s="257"/>
      <c r="E305" s="337"/>
      <c r="F305" s="493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</row>
    <row r="306" spans="1:23" ht="14.5" x14ac:dyDescent="0.35">
      <c r="A306" s="217"/>
      <c r="B306" s="257"/>
      <c r="C306" s="257"/>
      <c r="D306" s="257"/>
      <c r="E306" s="337"/>
      <c r="F306" s="493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</row>
    <row r="307" spans="1:23" ht="14.5" x14ac:dyDescent="0.35">
      <c r="A307" s="217"/>
      <c r="B307" s="257"/>
      <c r="C307" s="257"/>
      <c r="D307" s="257"/>
      <c r="E307" s="337"/>
      <c r="F307" s="493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</row>
    <row r="308" spans="1:23" ht="14.5" x14ac:dyDescent="0.35">
      <c r="A308" s="217"/>
      <c r="B308" s="257"/>
      <c r="C308" s="257"/>
      <c r="D308" s="257"/>
      <c r="E308" s="337"/>
      <c r="F308" s="493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</row>
    <row r="309" spans="1:23" ht="14.5" x14ac:dyDescent="0.35">
      <c r="A309" s="217"/>
      <c r="B309" s="257"/>
      <c r="C309" s="257"/>
      <c r="D309" s="257"/>
      <c r="E309" s="337"/>
      <c r="F309" s="493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</row>
    <row r="310" spans="1:23" ht="14.5" x14ac:dyDescent="0.35">
      <c r="A310" s="217"/>
      <c r="B310" s="257"/>
      <c r="C310" s="257"/>
      <c r="D310" s="257"/>
      <c r="E310" s="337"/>
      <c r="F310" s="493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</row>
    <row r="311" spans="1:23" ht="14.5" x14ac:dyDescent="0.35">
      <c r="A311" s="217"/>
      <c r="B311" s="257"/>
      <c r="C311" s="257"/>
      <c r="D311" s="257"/>
      <c r="E311" s="337"/>
      <c r="F311" s="493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</row>
    <row r="312" spans="1:23" ht="14.5" x14ac:dyDescent="0.35">
      <c r="A312" s="217"/>
      <c r="B312" s="257"/>
      <c r="C312" s="257"/>
      <c r="D312" s="257"/>
      <c r="E312" s="337"/>
      <c r="F312" s="33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</row>
    <row r="313" spans="1:23" ht="14.5" x14ac:dyDescent="0.35">
      <c r="A313" s="217"/>
      <c r="B313" s="257"/>
      <c r="C313" s="257"/>
      <c r="D313" s="257"/>
      <c r="E313" s="337"/>
      <c r="F313" s="33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</row>
    <row r="314" spans="1:23" ht="14.5" x14ac:dyDescent="0.35">
      <c r="A314" s="217"/>
      <c r="B314" s="257"/>
      <c r="C314" s="257"/>
      <c r="D314" s="257"/>
      <c r="E314" s="337"/>
      <c r="F314" s="33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</row>
    <row r="315" spans="1:23" ht="14.5" x14ac:dyDescent="0.35">
      <c r="A315" s="217"/>
      <c r="B315" s="257"/>
      <c r="C315" s="257"/>
      <c r="D315" s="257"/>
      <c r="E315" s="337"/>
      <c r="F315" s="33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</row>
    <row r="316" spans="1:23" ht="14.5" x14ac:dyDescent="0.35">
      <c r="A316" s="217"/>
      <c r="B316" s="257"/>
      <c r="C316" s="257"/>
      <c r="D316" s="257"/>
      <c r="E316" s="337"/>
      <c r="F316" s="33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</row>
    <row r="317" spans="1:23" ht="14.5" x14ac:dyDescent="0.35">
      <c r="A317" s="217"/>
      <c r="B317" s="257"/>
      <c r="C317" s="257"/>
      <c r="D317" s="257"/>
      <c r="E317" s="337"/>
      <c r="F317" s="33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</row>
    <row r="318" spans="1:23" ht="14.5" x14ac:dyDescent="0.35">
      <c r="A318" s="217"/>
      <c r="B318" s="257"/>
      <c r="C318" s="257"/>
      <c r="D318" s="257"/>
      <c r="E318" s="337"/>
      <c r="F318" s="33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</row>
    <row r="319" spans="1:23" ht="14.5" x14ac:dyDescent="0.35">
      <c r="A319" s="217"/>
      <c r="B319" s="257"/>
      <c r="C319" s="257"/>
      <c r="D319" s="257"/>
      <c r="E319" s="337"/>
      <c r="F319" s="33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</row>
    <row r="320" spans="1:23" ht="14.5" x14ac:dyDescent="0.35">
      <c r="A320" s="217"/>
      <c r="B320" s="257"/>
      <c r="C320" s="257"/>
      <c r="D320" s="257"/>
      <c r="E320" s="337"/>
      <c r="F320" s="33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</row>
    <row r="321" spans="1:23" ht="14.5" x14ac:dyDescent="0.35">
      <c r="A321" s="217"/>
      <c r="B321" s="257"/>
      <c r="C321" s="257"/>
      <c r="D321" s="257"/>
      <c r="E321" s="337"/>
      <c r="F321" s="33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</row>
    <row r="322" spans="1:23" ht="14.5" x14ac:dyDescent="0.35">
      <c r="A322" s="217"/>
      <c r="B322" s="257"/>
      <c r="C322" s="257"/>
      <c r="D322" s="257"/>
      <c r="E322" s="337"/>
      <c r="F322" s="33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</row>
    <row r="323" spans="1:23" ht="14.5" x14ac:dyDescent="0.35">
      <c r="A323" s="217"/>
      <c r="B323" s="257"/>
      <c r="C323" s="257"/>
      <c r="D323" s="257"/>
      <c r="E323" s="337"/>
      <c r="F323" s="33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</row>
    <row r="324" spans="1:23" ht="14.5" x14ac:dyDescent="0.35">
      <c r="A324" s="217"/>
      <c r="B324" s="257"/>
      <c r="C324" s="257"/>
      <c r="D324" s="257"/>
      <c r="E324" s="337"/>
      <c r="F324" s="33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</row>
    <row r="325" spans="1:23" ht="14.5" x14ac:dyDescent="0.35">
      <c r="A325" s="217"/>
      <c r="B325" s="257"/>
      <c r="C325" s="257"/>
      <c r="D325" s="257"/>
      <c r="E325" s="337"/>
      <c r="F325" s="33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</row>
    <row r="326" spans="1:23" ht="14.5" x14ac:dyDescent="0.35">
      <c r="A326" s="217"/>
      <c r="B326" s="257"/>
      <c r="C326" s="257"/>
      <c r="D326" s="257"/>
      <c r="E326" s="337"/>
      <c r="F326" s="33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</row>
    <row r="327" spans="1:23" ht="14.5" x14ac:dyDescent="0.35">
      <c r="A327" s="217"/>
      <c r="B327" s="257"/>
      <c r="C327" s="257"/>
      <c r="D327" s="257"/>
      <c r="E327" s="337"/>
      <c r="F327" s="33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</row>
    <row r="328" spans="1:23" ht="14.5" x14ac:dyDescent="0.35">
      <c r="A328" s="217"/>
      <c r="B328" s="257"/>
      <c r="C328" s="257"/>
      <c r="D328" s="257"/>
      <c r="E328" s="337"/>
      <c r="F328" s="33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</row>
    <row r="329" spans="1:23" ht="14.5" x14ac:dyDescent="0.35">
      <c r="A329" s="217"/>
      <c r="B329" s="257"/>
      <c r="C329" s="257"/>
      <c r="D329" s="257"/>
      <c r="E329" s="337"/>
      <c r="F329" s="33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</row>
    <row r="330" spans="1:23" ht="14.5" x14ac:dyDescent="0.35">
      <c r="A330" s="217"/>
      <c r="B330" s="257"/>
      <c r="C330" s="257"/>
      <c r="D330" s="257"/>
      <c r="E330" s="337"/>
      <c r="F330" s="33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</row>
    <row r="331" spans="1:23" ht="14.5" x14ac:dyDescent="0.35">
      <c r="A331" s="217"/>
      <c r="B331" s="257"/>
      <c r="C331" s="257"/>
      <c r="D331" s="257"/>
      <c r="E331" s="337"/>
      <c r="F331" s="33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</row>
    <row r="332" spans="1:23" ht="14.5" x14ac:dyDescent="0.35">
      <c r="A332" s="217"/>
      <c r="B332" s="257"/>
      <c r="C332" s="257"/>
      <c r="D332" s="257"/>
      <c r="E332" s="337"/>
      <c r="F332" s="33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</row>
    <row r="333" spans="1:23" ht="14.5" x14ac:dyDescent="0.35">
      <c r="A333" s="217"/>
      <c r="B333" s="257"/>
      <c r="C333" s="257"/>
      <c r="D333" s="257"/>
      <c r="E333" s="337"/>
      <c r="F333" s="33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</row>
    <row r="334" spans="1:23" ht="14.5" x14ac:dyDescent="0.35">
      <c r="A334" s="217"/>
      <c r="B334" s="257"/>
      <c r="C334" s="257"/>
      <c r="D334" s="257"/>
      <c r="E334" s="337"/>
      <c r="F334" s="33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</row>
    <row r="335" spans="1:23" ht="14.5" x14ac:dyDescent="0.35">
      <c r="A335" s="217"/>
      <c r="B335" s="257"/>
      <c r="C335" s="257"/>
      <c r="D335" s="257"/>
      <c r="E335" s="337"/>
      <c r="F335" s="33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</row>
    <row r="336" spans="1:23" ht="14.5" x14ac:dyDescent="0.35">
      <c r="A336" s="217"/>
      <c r="B336" s="257"/>
      <c r="C336" s="257"/>
      <c r="D336" s="257"/>
      <c r="E336" s="337"/>
      <c r="F336" s="33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</row>
    <row r="337" spans="1:23" ht="14.5" x14ac:dyDescent="0.35">
      <c r="A337" s="217"/>
      <c r="B337" s="257"/>
      <c r="C337" s="257"/>
      <c r="D337" s="257"/>
      <c r="E337" s="337"/>
      <c r="F337" s="33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</row>
    <row r="338" spans="1:23" ht="14.5" x14ac:dyDescent="0.35">
      <c r="A338" s="217"/>
      <c r="B338" s="257"/>
      <c r="C338" s="257"/>
      <c r="D338" s="257"/>
      <c r="E338" s="337"/>
      <c r="F338" s="33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</row>
    <row r="339" spans="1:23" ht="14.5" x14ac:dyDescent="0.35">
      <c r="A339" s="217"/>
      <c r="B339" s="257"/>
      <c r="C339" s="257"/>
      <c r="D339" s="257"/>
      <c r="E339" s="337"/>
      <c r="F339" s="33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</row>
    <row r="340" spans="1:23" ht="14.5" x14ac:dyDescent="0.35">
      <c r="A340" s="217"/>
      <c r="B340" s="257"/>
      <c r="C340" s="257"/>
      <c r="D340" s="257"/>
      <c r="E340" s="337"/>
      <c r="F340" s="33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</row>
    <row r="341" spans="1:23" ht="14.5" x14ac:dyDescent="0.35">
      <c r="A341" s="217"/>
      <c r="B341" s="257"/>
      <c r="C341" s="257"/>
      <c r="D341" s="257"/>
      <c r="E341" s="337"/>
      <c r="F341" s="33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</row>
    <row r="342" spans="1:23" ht="14.5" x14ac:dyDescent="0.35">
      <c r="A342" s="217"/>
      <c r="B342" s="257"/>
      <c r="C342" s="257"/>
      <c r="D342" s="257"/>
      <c r="E342" s="337"/>
      <c r="F342" s="33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</row>
    <row r="343" spans="1:23" ht="14.5" x14ac:dyDescent="0.35">
      <c r="A343" s="217"/>
      <c r="B343" s="257"/>
      <c r="C343" s="257"/>
      <c r="D343" s="257"/>
      <c r="E343" s="337"/>
      <c r="F343" s="33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</row>
    <row r="344" spans="1:23" ht="14.5" x14ac:dyDescent="0.35">
      <c r="A344" s="217"/>
      <c r="B344" s="257"/>
      <c r="C344" s="257"/>
      <c r="D344" s="257"/>
      <c r="E344" s="337"/>
      <c r="F344" s="33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</row>
    <row r="345" spans="1:23" ht="14.5" x14ac:dyDescent="0.35">
      <c r="A345" s="217"/>
      <c r="B345" s="257"/>
      <c r="C345" s="257"/>
      <c r="D345" s="257"/>
      <c r="E345" s="337"/>
      <c r="F345" s="33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</row>
    <row r="346" spans="1:23" ht="14.5" x14ac:dyDescent="0.35">
      <c r="A346" s="217"/>
      <c r="B346" s="257"/>
      <c r="C346" s="257"/>
      <c r="D346" s="257"/>
      <c r="E346" s="337"/>
      <c r="F346" s="33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</row>
    <row r="347" spans="1:23" ht="14.5" x14ac:dyDescent="0.35">
      <c r="A347" s="217"/>
      <c r="B347" s="257"/>
      <c r="C347" s="257"/>
      <c r="D347" s="257"/>
      <c r="E347" s="337"/>
      <c r="F347" s="33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</row>
    <row r="348" spans="1:23" ht="14.5" x14ac:dyDescent="0.35">
      <c r="A348" s="217"/>
      <c r="B348" s="257"/>
      <c r="C348" s="257"/>
      <c r="D348" s="257"/>
      <c r="E348" s="337"/>
      <c r="F348" s="33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</row>
    <row r="349" spans="1:23" ht="14.5" x14ac:dyDescent="0.35">
      <c r="A349" s="217"/>
      <c r="B349" s="257"/>
      <c r="C349" s="257"/>
      <c r="D349" s="257"/>
      <c r="E349" s="337"/>
      <c r="F349" s="33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</row>
    <row r="350" spans="1:23" ht="14.5" x14ac:dyDescent="0.35">
      <c r="A350" s="217"/>
      <c r="B350" s="257"/>
      <c r="C350" s="257"/>
      <c r="D350" s="257"/>
      <c r="E350" s="337"/>
      <c r="F350" s="33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</row>
    <row r="351" spans="1:23" ht="14.5" x14ac:dyDescent="0.35">
      <c r="A351" s="217"/>
      <c r="B351" s="257"/>
      <c r="C351" s="257"/>
      <c r="D351" s="257"/>
      <c r="E351" s="337"/>
      <c r="F351" s="33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</row>
    <row r="352" spans="1:23" ht="14.5" x14ac:dyDescent="0.35">
      <c r="A352" s="217"/>
      <c r="B352" s="257"/>
      <c r="C352" s="257"/>
      <c r="D352" s="257"/>
      <c r="E352" s="337"/>
      <c r="F352" s="33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</row>
    <row r="353" spans="1:23" ht="14.5" x14ac:dyDescent="0.35">
      <c r="A353" s="217"/>
      <c r="B353" s="257"/>
      <c r="C353" s="257"/>
      <c r="D353" s="257"/>
      <c r="E353" s="337"/>
      <c r="F353" s="33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</row>
    <row r="354" spans="1:23" ht="14.5" x14ac:dyDescent="0.35">
      <c r="A354" s="217"/>
      <c r="B354" s="257"/>
      <c r="C354" s="257"/>
      <c r="D354" s="257"/>
      <c r="E354" s="337"/>
      <c r="F354" s="33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</row>
    <row r="355" spans="1:23" ht="14.5" x14ac:dyDescent="0.35">
      <c r="A355" s="217"/>
      <c r="B355" s="257"/>
      <c r="C355" s="257"/>
      <c r="D355" s="257"/>
      <c r="E355" s="337"/>
      <c r="F355" s="33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</row>
    <row r="356" spans="1:23" ht="14.5" x14ac:dyDescent="0.35">
      <c r="A356" s="217"/>
      <c r="B356" s="257"/>
      <c r="C356" s="257"/>
      <c r="D356" s="257"/>
      <c r="E356" s="337"/>
      <c r="F356" s="33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</row>
    <row r="357" spans="1:23" ht="14.5" x14ac:dyDescent="0.35">
      <c r="A357" s="217"/>
      <c r="B357" s="257"/>
      <c r="C357" s="257"/>
      <c r="D357" s="257"/>
      <c r="E357" s="337"/>
      <c r="F357" s="33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</row>
    <row r="358" spans="1:23" ht="14.5" x14ac:dyDescent="0.35">
      <c r="A358" s="217"/>
      <c r="B358" s="257"/>
      <c r="C358" s="257"/>
      <c r="D358" s="257"/>
      <c r="E358" s="337"/>
      <c r="F358" s="33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</row>
    <row r="359" spans="1:23" ht="14.5" x14ac:dyDescent="0.35">
      <c r="A359" s="217"/>
      <c r="B359" s="257"/>
      <c r="C359" s="257"/>
      <c r="D359" s="257"/>
      <c r="E359" s="337"/>
      <c r="F359" s="33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</row>
    <row r="360" spans="1:23" ht="14.5" x14ac:dyDescent="0.35">
      <c r="A360" s="217"/>
      <c r="B360" s="257"/>
      <c r="C360" s="257"/>
      <c r="D360" s="257"/>
      <c r="E360" s="337"/>
      <c r="F360" s="33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</row>
    <row r="361" spans="1:23" ht="14.5" x14ac:dyDescent="0.35">
      <c r="A361" s="217"/>
      <c r="B361" s="257"/>
      <c r="C361" s="257"/>
      <c r="D361" s="257"/>
      <c r="E361" s="337"/>
      <c r="F361" s="33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</row>
    <row r="362" spans="1:23" ht="14.5" x14ac:dyDescent="0.35">
      <c r="A362" s="217"/>
      <c r="B362" s="257"/>
      <c r="C362" s="257"/>
      <c r="D362" s="257"/>
      <c r="E362" s="337"/>
      <c r="F362" s="33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</row>
    <row r="363" spans="1:23" ht="14.5" x14ac:dyDescent="0.35">
      <c r="A363" s="217"/>
      <c r="B363" s="257"/>
      <c r="C363" s="257"/>
      <c r="D363" s="257"/>
      <c r="E363" s="337"/>
      <c r="F363" s="33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</row>
    <row r="364" spans="1:23" ht="14.5" x14ac:dyDescent="0.35">
      <c r="A364" s="217"/>
      <c r="B364" s="257"/>
      <c r="C364" s="257"/>
      <c r="D364" s="257"/>
      <c r="E364" s="337"/>
      <c r="F364" s="33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</row>
    <row r="365" spans="1:23" ht="14.5" x14ac:dyDescent="0.35">
      <c r="A365" s="217"/>
      <c r="B365" s="257"/>
      <c r="C365" s="257"/>
      <c r="D365" s="257"/>
      <c r="E365" s="337"/>
      <c r="F365" s="33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</row>
    <row r="366" spans="1:23" ht="14.5" x14ac:dyDescent="0.35">
      <c r="A366" s="217"/>
      <c r="B366" s="257"/>
      <c r="C366" s="257"/>
      <c r="D366" s="257"/>
      <c r="E366" s="337"/>
      <c r="F366" s="33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</row>
    <row r="367" spans="1:23" ht="14.5" x14ac:dyDescent="0.35">
      <c r="A367" s="217"/>
      <c r="B367" s="257"/>
      <c r="C367" s="257"/>
      <c r="D367" s="257"/>
      <c r="E367" s="337"/>
      <c r="F367" s="33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</row>
    <row r="368" spans="1:23" ht="14.5" x14ac:dyDescent="0.35">
      <c r="A368" s="217"/>
      <c r="B368" s="257"/>
      <c r="C368" s="257"/>
      <c r="D368" s="257"/>
      <c r="E368" s="337"/>
      <c r="F368" s="33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</row>
    <row r="369" spans="1:23" ht="14.5" x14ac:dyDescent="0.35">
      <c r="A369" s="217"/>
      <c r="B369" s="257"/>
      <c r="C369" s="257"/>
      <c r="D369" s="257"/>
      <c r="E369" s="337"/>
      <c r="F369" s="33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</row>
    <row r="370" spans="1:23" ht="14.5" x14ac:dyDescent="0.35">
      <c r="A370" s="217"/>
      <c r="B370" s="257"/>
      <c r="C370" s="257"/>
      <c r="D370" s="257"/>
      <c r="E370" s="337"/>
      <c r="F370" s="33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</row>
    <row r="371" spans="1:23" ht="14.5" x14ac:dyDescent="0.35">
      <c r="A371" s="217"/>
      <c r="B371" s="257"/>
      <c r="C371" s="257"/>
      <c r="D371" s="257"/>
      <c r="E371" s="337"/>
      <c r="F371" s="33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</row>
    <row r="372" spans="1:23" ht="14.5" x14ac:dyDescent="0.35">
      <c r="A372" s="217"/>
      <c r="B372" s="257"/>
      <c r="C372" s="257"/>
      <c r="D372" s="257"/>
      <c r="E372" s="337"/>
      <c r="F372" s="33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</row>
    <row r="373" spans="1:23" ht="14.5" x14ac:dyDescent="0.35">
      <c r="A373" s="217"/>
      <c r="B373" s="257"/>
      <c r="C373" s="257"/>
      <c r="D373" s="257"/>
      <c r="E373" s="337"/>
      <c r="F373" s="33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</row>
    <row r="374" spans="1:23" ht="14.5" x14ac:dyDescent="0.35">
      <c r="A374" s="217"/>
      <c r="B374" s="257"/>
      <c r="C374" s="257"/>
      <c r="D374" s="257"/>
      <c r="E374" s="337"/>
      <c r="F374" s="33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</row>
    <row r="375" spans="1:23" ht="14.5" x14ac:dyDescent="0.35">
      <c r="A375" s="217"/>
      <c r="B375" s="257"/>
      <c r="C375" s="257"/>
      <c r="D375" s="257"/>
      <c r="E375" s="337"/>
      <c r="F375" s="33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</row>
    <row r="376" spans="1:23" ht="14.5" x14ac:dyDescent="0.35">
      <c r="A376" s="217"/>
      <c r="B376" s="257"/>
      <c r="C376" s="257"/>
      <c r="D376" s="257"/>
      <c r="E376" s="337"/>
      <c r="F376" s="33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</row>
    <row r="377" spans="1:23" ht="14.5" x14ac:dyDescent="0.35">
      <c r="A377" s="217"/>
      <c r="B377" s="257"/>
      <c r="C377" s="257"/>
      <c r="D377" s="257"/>
      <c r="E377" s="337"/>
      <c r="F377" s="33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</row>
    <row r="378" spans="1:23" ht="14.5" x14ac:dyDescent="0.35">
      <c r="A378" s="217"/>
      <c r="B378" s="257"/>
      <c r="C378" s="257"/>
      <c r="D378" s="257"/>
      <c r="E378" s="337"/>
      <c r="F378" s="33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</row>
    <row r="379" spans="1:23" ht="14.5" x14ac:dyDescent="0.35">
      <c r="A379" s="217"/>
      <c r="B379" s="257"/>
      <c r="C379" s="257"/>
      <c r="D379" s="257"/>
      <c r="E379" s="337"/>
      <c r="F379" s="33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</row>
    <row r="380" spans="1:23" ht="14.5" x14ac:dyDescent="0.35">
      <c r="A380" s="217"/>
      <c r="B380" s="257"/>
      <c r="C380" s="257"/>
      <c r="D380" s="257"/>
      <c r="E380" s="337"/>
      <c r="F380" s="33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</row>
    <row r="381" spans="1:23" ht="14.5" x14ac:dyDescent="0.35">
      <c r="A381" s="217"/>
      <c r="B381" s="257"/>
      <c r="C381" s="257"/>
      <c r="D381" s="257"/>
      <c r="E381" s="337"/>
      <c r="F381" s="33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</row>
    <row r="382" spans="1:23" ht="14.5" x14ac:dyDescent="0.35">
      <c r="A382" s="217"/>
      <c r="B382" s="257"/>
      <c r="C382" s="257"/>
      <c r="D382" s="257"/>
      <c r="E382" s="337"/>
      <c r="F382" s="33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</row>
    <row r="383" spans="1:23" ht="14.5" x14ac:dyDescent="0.35">
      <c r="A383" s="217"/>
      <c r="B383" s="257"/>
      <c r="C383" s="257"/>
      <c r="D383" s="257"/>
      <c r="E383" s="337"/>
      <c r="F383" s="33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</row>
    <row r="384" spans="1:23" ht="14.5" x14ac:dyDescent="0.35">
      <c r="A384" s="217"/>
      <c r="B384" s="257"/>
      <c r="C384" s="257"/>
      <c r="D384" s="257"/>
      <c r="E384" s="337"/>
      <c r="F384" s="33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</row>
    <row r="385" spans="1:23" ht="14.5" x14ac:dyDescent="0.35">
      <c r="A385" s="217"/>
      <c r="B385" s="257"/>
      <c r="C385" s="257"/>
      <c r="D385" s="257"/>
      <c r="E385" s="337"/>
      <c r="F385" s="33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</row>
    <row r="386" spans="1:23" ht="14.5" x14ac:dyDescent="0.35">
      <c r="A386" s="217"/>
      <c r="B386" s="257"/>
      <c r="C386" s="257"/>
      <c r="D386" s="257"/>
      <c r="E386" s="337"/>
      <c r="F386" s="33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</row>
    <row r="387" spans="1:23" ht="14.5" x14ac:dyDescent="0.35">
      <c r="A387" s="217"/>
      <c r="B387" s="257"/>
      <c r="C387" s="257"/>
      <c r="D387" s="257"/>
      <c r="E387" s="337"/>
      <c r="F387" s="33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</row>
    <row r="388" spans="1:23" ht="14.5" x14ac:dyDescent="0.35">
      <c r="A388" s="217"/>
      <c r="B388" s="257"/>
      <c r="C388" s="257"/>
      <c r="D388" s="257"/>
      <c r="E388" s="337"/>
      <c r="F388" s="33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</row>
    <row r="389" spans="1:23" ht="14.5" x14ac:dyDescent="0.35">
      <c r="A389" s="217"/>
      <c r="B389" s="257"/>
      <c r="C389" s="257"/>
      <c r="D389" s="257"/>
      <c r="E389" s="337"/>
      <c r="F389" s="33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</row>
    <row r="390" spans="1:23" ht="14.5" x14ac:dyDescent="0.35">
      <c r="A390" s="217"/>
      <c r="B390" s="257"/>
      <c r="C390" s="257"/>
      <c r="D390" s="257"/>
      <c r="E390" s="337"/>
      <c r="F390" s="33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</row>
    <row r="391" spans="1:23" ht="14.5" x14ac:dyDescent="0.35">
      <c r="A391" s="217"/>
      <c r="B391" s="257"/>
      <c r="C391" s="257"/>
      <c r="D391" s="257"/>
      <c r="E391" s="337"/>
      <c r="F391" s="33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</row>
    <row r="392" spans="1:23" ht="14.5" x14ac:dyDescent="0.35">
      <c r="A392" s="217"/>
      <c r="B392" s="257"/>
      <c r="C392" s="257"/>
      <c r="D392" s="257"/>
      <c r="E392" s="337"/>
      <c r="F392" s="33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</row>
    <row r="393" spans="1:23" ht="14.5" x14ac:dyDescent="0.35">
      <c r="A393" s="217"/>
      <c r="B393" s="257"/>
      <c r="C393" s="257"/>
      <c r="D393" s="257"/>
      <c r="E393" s="337"/>
      <c r="F393" s="33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</row>
    <row r="394" spans="1:23" ht="14.5" x14ac:dyDescent="0.35">
      <c r="A394" s="217"/>
      <c r="B394" s="257"/>
      <c r="C394" s="257"/>
      <c r="D394" s="257"/>
      <c r="E394" s="337"/>
      <c r="F394" s="33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</row>
    <row r="395" spans="1:23" ht="14.5" x14ac:dyDescent="0.35">
      <c r="A395" s="217"/>
      <c r="B395" s="257"/>
      <c r="C395" s="257"/>
      <c r="D395" s="257"/>
      <c r="E395" s="337"/>
      <c r="F395" s="33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</row>
    <row r="396" spans="1:23" ht="14.5" x14ac:dyDescent="0.35">
      <c r="A396" s="217"/>
      <c r="B396" s="257"/>
      <c r="C396" s="257"/>
      <c r="D396" s="257"/>
      <c r="E396" s="337"/>
      <c r="F396" s="33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</row>
    <row r="397" spans="1:23" ht="14.5" x14ac:dyDescent="0.35">
      <c r="A397" s="217"/>
      <c r="B397" s="257"/>
      <c r="C397" s="257"/>
      <c r="D397" s="257"/>
      <c r="E397" s="337"/>
      <c r="F397" s="33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</row>
    <row r="398" spans="1:23" ht="14.5" x14ac:dyDescent="0.35">
      <c r="A398" s="217"/>
      <c r="B398" s="257"/>
      <c r="C398" s="257"/>
      <c r="D398" s="257"/>
      <c r="E398" s="337"/>
      <c r="F398" s="33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</row>
    <row r="399" spans="1:23" ht="14.5" x14ac:dyDescent="0.35">
      <c r="A399" s="217"/>
      <c r="B399" s="257"/>
      <c r="C399" s="257"/>
      <c r="D399" s="257"/>
      <c r="E399" s="337"/>
      <c r="F399" s="33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</row>
    <row r="400" spans="1:23" ht="14.5" x14ac:dyDescent="0.35">
      <c r="A400" s="217"/>
      <c r="B400" s="257"/>
      <c r="C400" s="257"/>
      <c r="D400" s="257"/>
      <c r="E400" s="337"/>
      <c r="F400" s="33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</row>
    <row r="401" spans="1:23" ht="14.5" x14ac:dyDescent="0.35">
      <c r="A401" s="217"/>
      <c r="B401" s="257"/>
      <c r="C401" s="257"/>
      <c r="D401" s="257"/>
      <c r="E401" s="337"/>
      <c r="F401" s="33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</row>
    <row r="402" spans="1:23" ht="14.5" x14ac:dyDescent="0.35">
      <c r="A402" s="217"/>
      <c r="B402" s="257"/>
      <c r="C402" s="257"/>
      <c r="D402" s="257"/>
      <c r="E402" s="337"/>
      <c r="F402" s="33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</row>
    <row r="403" spans="1:23" ht="14.5" x14ac:dyDescent="0.35">
      <c r="A403" s="217"/>
      <c r="B403" s="257"/>
      <c r="C403" s="257"/>
      <c r="D403" s="257"/>
      <c r="E403" s="337"/>
      <c r="F403" s="33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</row>
    <row r="404" spans="1:23" ht="14.5" x14ac:dyDescent="0.35">
      <c r="A404" s="217"/>
      <c r="B404" s="257"/>
      <c r="C404" s="257"/>
      <c r="D404" s="257"/>
      <c r="E404" s="337"/>
      <c r="F404" s="33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</row>
    <row r="405" spans="1:23" ht="14.5" x14ac:dyDescent="0.35">
      <c r="A405" s="217"/>
      <c r="B405" s="257"/>
      <c r="C405" s="257"/>
      <c r="D405" s="257"/>
      <c r="E405" s="337"/>
      <c r="F405" s="33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</row>
    <row r="406" spans="1:23" ht="14.5" x14ac:dyDescent="0.35">
      <c r="A406" s="217"/>
      <c r="B406" s="257"/>
      <c r="C406" s="257"/>
      <c r="D406" s="257"/>
      <c r="E406" s="337"/>
      <c r="F406" s="33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</row>
    <row r="407" spans="1:23" ht="14.5" x14ac:dyDescent="0.35">
      <c r="A407" s="217"/>
      <c r="B407" s="257"/>
      <c r="C407" s="257"/>
      <c r="D407" s="257"/>
      <c r="E407" s="337"/>
      <c r="F407" s="33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</row>
    <row r="408" spans="1:23" ht="14.5" x14ac:dyDescent="0.35">
      <c r="A408" s="217"/>
      <c r="B408" s="257"/>
      <c r="C408" s="257"/>
      <c r="D408" s="257"/>
      <c r="E408" s="337"/>
      <c r="F408" s="33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</row>
    <row r="409" spans="1:23" ht="14.5" x14ac:dyDescent="0.35">
      <c r="A409" s="217"/>
      <c r="B409" s="257"/>
      <c r="C409" s="257"/>
      <c r="D409" s="257"/>
      <c r="E409" s="337"/>
      <c r="F409" s="33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</row>
    <row r="410" spans="1:23" ht="14.5" x14ac:dyDescent="0.35">
      <c r="A410" s="217"/>
      <c r="B410" s="257"/>
      <c r="C410" s="257"/>
      <c r="D410" s="257"/>
      <c r="E410" s="337"/>
      <c r="F410" s="33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</row>
    <row r="411" spans="1:23" ht="14.5" x14ac:dyDescent="0.35">
      <c r="A411" s="217"/>
      <c r="B411" s="257"/>
      <c r="C411" s="257"/>
      <c r="D411" s="257"/>
      <c r="E411" s="337"/>
      <c r="F411" s="33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</row>
    <row r="412" spans="1:23" ht="14.5" x14ac:dyDescent="0.35">
      <c r="A412" s="217"/>
      <c r="B412" s="257"/>
      <c r="C412" s="257"/>
      <c r="D412" s="257"/>
      <c r="E412" s="337"/>
      <c r="F412" s="33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</row>
    <row r="413" spans="1:23" ht="14.5" x14ac:dyDescent="0.35">
      <c r="A413" s="217"/>
      <c r="B413" s="257"/>
      <c r="C413" s="257"/>
      <c r="D413" s="257"/>
      <c r="E413" s="337"/>
      <c r="F413" s="33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</row>
    <row r="414" spans="1:23" ht="14.5" x14ac:dyDescent="0.35">
      <c r="A414" s="217"/>
      <c r="B414" s="257"/>
      <c r="C414" s="257"/>
      <c r="D414" s="257"/>
      <c r="E414" s="337"/>
      <c r="F414" s="33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</row>
    <row r="415" spans="1:23" ht="14.5" x14ac:dyDescent="0.35">
      <c r="A415" s="217"/>
      <c r="B415" s="257"/>
      <c r="C415" s="257"/>
      <c r="D415" s="257"/>
      <c r="E415" s="337"/>
      <c r="F415" s="33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</row>
    <row r="416" spans="1:23" ht="14.5" x14ac:dyDescent="0.35">
      <c r="A416" s="217"/>
      <c r="B416" s="257"/>
      <c r="C416" s="257"/>
      <c r="D416" s="257"/>
      <c r="E416" s="337"/>
      <c r="F416" s="33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</row>
    <row r="417" spans="1:23" ht="14.5" x14ac:dyDescent="0.35">
      <c r="A417" s="217"/>
      <c r="B417" s="257"/>
      <c r="C417" s="257"/>
      <c r="D417" s="257"/>
      <c r="E417" s="337"/>
      <c r="F417" s="33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</row>
    <row r="418" spans="1:23" ht="14.5" x14ac:dyDescent="0.35">
      <c r="A418" s="217"/>
      <c r="B418" s="257"/>
      <c r="C418" s="257"/>
      <c r="D418" s="257"/>
      <c r="E418" s="337"/>
      <c r="F418" s="33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</row>
    <row r="419" spans="1:23" ht="14.5" x14ac:dyDescent="0.35">
      <c r="A419" s="217"/>
      <c r="B419" s="257"/>
      <c r="C419" s="257"/>
      <c r="D419" s="257"/>
      <c r="E419" s="337"/>
      <c r="F419" s="33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</row>
    <row r="420" spans="1:23" ht="14.5" x14ac:dyDescent="0.35">
      <c r="A420" s="217"/>
      <c r="B420" s="257"/>
      <c r="C420" s="257"/>
      <c r="D420" s="257"/>
      <c r="E420" s="337"/>
      <c r="F420" s="33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</row>
    <row r="421" spans="1:23" ht="14.5" x14ac:dyDescent="0.35">
      <c r="A421" s="217"/>
      <c r="B421" s="257"/>
      <c r="C421" s="257"/>
      <c r="D421" s="257"/>
      <c r="E421" s="337"/>
      <c r="F421" s="33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</row>
    <row r="422" spans="1:23" ht="14.5" x14ac:dyDescent="0.35">
      <c r="A422" s="217"/>
      <c r="B422" s="257"/>
      <c r="C422" s="257"/>
      <c r="D422" s="257"/>
      <c r="E422" s="337"/>
      <c r="F422" s="33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</row>
    <row r="423" spans="1:23" ht="14.5" x14ac:dyDescent="0.35">
      <c r="A423" s="217"/>
      <c r="B423" s="257"/>
      <c r="C423" s="257"/>
      <c r="D423" s="257"/>
      <c r="E423" s="337"/>
      <c r="F423" s="33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</row>
    <row r="424" spans="1:23" ht="14.5" x14ac:dyDescent="0.35">
      <c r="A424" s="217"/>
      <c r="B424" s="257"/>
      <c r="C424" s="257"/>
      <c r="D424" s="257"/>
      <c r="E424" s="337"/>
      <c r="F424" s="33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</row>
    <row r="425" spans="1:23" ht="14.5" x14ac:dyDescent="0.35">
      <c r="A425" s="217"/>
      <c r="B425" s="257"/>
      <c r="C425" s="257"/>
      <c r="D425" s="257"/>
      <c r="E425" s="337"/>
      <c r="F425" s="33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</row>
    <row r="426" spans="1:23" ht="14.5" x14ac:dyDescent="0.35">
      <c r="A426" s="217"/>
      <c r="B426" s="257"/>
      <c r="C426" s="257"/>
      <c r="D426" s="257"/>
      <c r="E426" s="337"/>
      <c r="F426" s="33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</row>
    <row r="427" spans="1:23" ht="14.5" x14ac:dyDescent="0.35">
      <c r="A427" s="217"/>
      <c r="B427" s="257"/>
      <c r="C427" s="257"/>
      <c r="D427" s="257"/>
      <c r="E427" s="337"/>
      <c r="F427" s="33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</row>
    <row r="428" spans="1:23" ht="14.5" x14ac:dyDescent="0.35">
      <c r="A428" s="217"/>
      <c r="B428" s="257"/>
      <c r="C428" s="257"/>
      <c r="D428" s="257"/>
      <c r="E428" s="337"/>
      <c r="F428" s="33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</row>
    <row r="429" spans="1:23" ht="14.5" x14ac:dyDescent="0.35">
      <c r="A429" s="217"/>
      <c r="B429" s="257"/>
      <c r="C429" s="257"/>
      <c r="D429" s="257"/>
      <c r="E429" s="337"/>
      <c r="F429" s="33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</row>
    <row r="430" spans="1:23" ht="14.5" x14ac:dyDescent="0.35">
      <c r="A430" s="217"/>
      <c r="B430" s="257"/>
      <c r="C430" s="257"/>
      <c r="D430" s="257"/>
      <c r="E430" s="337"/>
      <c r="F430" s="33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</row>
    <row r="431" spans="1:23" ht="14.5" x14ac:dyDescent="0.35">
      <c r="A431" s="217"/>
      <c r="B431" s="257"/>
      <c r="C431" s="257"/>
      <c r="D431" s="257"/>
      <c r="E431" s="337"/>
      <c r="F431" s="33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</row>
    <row r="432" spans="1:23" ht="14.5" x14ac:dyDescent="0.35">
      <c r="A432" s="217"/>
      <c r="B432" s="257"/>
      <c r="C432" s="257"/>
      <c r="D432" s="257"/>
      <c r="E432" s="337"/>
      <c r="F432" s="33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</row>
    <row r="433" spans="1:23" ht="14.5" x14ac:dyDescent="0.35">
      <c r="A433" s="217"/>
      <c r="B433" s="257"/>
      <c r="C433" s="257"/>
      <c r="D433" s="257"/>
      <c r="E433" s="337"/>
      <c r="F433" s="33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</row>
    <row r="434" spans="1:23" ht="14.5" x14ac:dyDescent="0.35">
      <c r="A434" s="217"/>
      <c r="B434" s="257"/>
      <c r="C434" s="257"/>
      <c r="D434" s="257"/>
      <c r="E434" s="337"/>
      <c r="F434" s="33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</row>
    <row r="435" spans="1:23" ht="14.5" x14ac:dyDescent="0.35">
      <c r="A435" s="217"/>
      <c r="B435" s="257"/>
      <c r="C435" s="257"/>
      <c r="D435" s="257"/>
      <c r="E435" s="337"/>
      <c r="F435" s="33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</row>
    <row r="436" spans="1:23" ht="14.5" x14ac:dyDescent="0.35">
      <c r="A436" s="217"/>
      <c r="B436" s="257"/>
      <c r="C436" s="257"/>
      <c r="D436" s="257"/>
      <c r="E436" s="337"/>
      <c r="F436" s="33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</row>
    <row r="437" spans="1:23" ht="14.5" x14ac:dyDescent="0.35">
      <c r="A437" s="217"/>
      <c r="B437" s="257"/>
      <c r="C437" s="257"/>
      <c r="D437" s="257"/>
      <c r="E437" s="337"/>
      <c r="F437" s="33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</row>
    <row r="438" spans="1:23" ht="14.5" x14ac:dyDescent="0.35">
      <c r="A438" s="217"/>
      <c r="B438" s="257"/>
      <c r="C438" s="257"/>
      <c r="D438" s="257"/>
      <c r="E438" s="337"/>
      <c r="F438" s="33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</row>
    <row r="439" spans="1:23" ht="14.5" x14ac:dyDescent="0.35">
      <c r="A439" s="217"/>
      <c r="B439" s="257"/>
      <c r="C439" s="257"/>
      <c r="D439" s="257"/>
      <c r="E439" s="337"/>
      <c r="F439" s="33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</row>
    <row r="440" spans="1:23" ht="14.5" x14ac:dyDescent="0.35">
      <c r="A440" s="217"/>
      <c r="B440" s="257"/>
      <c r="C440" s="257"/>
      <c r="D440" s="257"/>
      <c r="E440" s="337"/>
      <c r="F440" s="33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</row>
    <row r="441" spans="1:23" ht="14.5" x14ac:dyDescent="0.35">
      <c r="A441" s="217"/>
      <c r="B441" s="257"/>
      <c r="C441" s="257"/>
      <c r="D441" s="257"/>
      <c r="E441" s="337"/>
      <c r="F441" s="33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</row>
    <row r="442" spans="1:23" ht="14.5" x14ac:dyDescent="0.35">
      <c r="A442" s="217"/>
      <c r="B442" s="257"/>
      <c r="C442" s="257"/>
      <c r="D442" s="257"/>
      <c r="E442" s="337"/>
      <c r="F442" s="33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</row>
    <row r="443" spans="1:23" ht="14.5" x14ac:dyDescent="0.35">
      <c r="A443" s="217"/>
      <c r="B443" s="257"/>
      <c r="C443" s="257"/>
      <c r="D443" s="257"/>
      <c r="E443" s="337"/>
      <c r="F443" s="33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</row>
    <row r="444" spans="1:23" ht="14.5" x14ac:dyDescent="0.35">
      <c r="A444" s="217"/>
      <c r="B444" s="257"/>
      <c r="C444" s="257"/>
      <c r="D444" s="257"/>
      <c r="E444" s="337"/>
      <c r="F444" s="33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</row>
    <row r="445" spans="1:23" ht="14.5" x14ac:dyDescent="0.35">
      <c r="A445" s="217"/>
      <c r="B445" s="257"/>
      <c r="C445" s="257"/>
      <c r="D445" s="257"/>
      <c r="E445" s="337"/>
      <c r="F445" s="33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</row>
    <row r="446" spans="1:23" ht="14.5" x14ac:dyDescent="0.35">
      <c r="A446" s="217"/>
      <c r="B446" s="257"/>
      <c r="C446" s="257"/>
      <c r="D446" s="257"/>
      <c r="E446" s="337"/>
      <c r="F446" s="33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</row>
    <row r="447" spans="1:23" ht="14.5" x14ac:dyDescent="0.35">
      <c r="A447" s="217"/>
      <c r="B447" s="257"/>
      <c r="C447" s="257"/>
      <c r="D447" s="257"/>
      <c r="E447" s="337"/>
      <c r="F447" s="33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</row>
    <row r="448" spans="1:23" ht="14.5" x14ac:dyDescent="0.35">
      <c r="A448" s="217"/>
      <c r="B448" s="257"/>
      <c r="C448" s="257"/>
      <c r="D448" s="257"/>
      <c r="E448" s="337"/>
      <c r="F448" s="33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</row>
    <row r="449" spans="1:23" ht="14.5" x14ac:dyDescent="0.35">
      <c r="A449" s="217"/>
      <c r="B449" s="257"/>
      <c r="C449" s="257"/>
      <c r="D449" s="257"/>
      <c r="E449" s="337"/>
      <c r="F449" s="33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</row>
    <row r="450" spans="1:23" ht="14.5" x14ac:dyDescent="0.35">
      <c r="A450" s="217"/>
      <c r="B450" s="257"/>
      <c r="C450" s="257"/>
      <c r="D450" s="257"/>
      <c r="E450" s="337"/>
      <c r="F450" s="33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</row>
    <row r="451" spans="1:23" ht="14.5" x14ac:dyDescent="0.35">
      <c r="A451" s="217"/>
      <c r="B451" s="257"/>
      <c r="C451" s="257"/>
      <c r="D451" s="257"/>
      <c r="E451" s="337"/>
      <c r="F451" s="33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</row>
    <row r="452" spans="1:23" ht="14.5" x14ac:dyDescent="0.35">
      <c r="A452" s="217"/>
      <c r="B452" s="257"/>
      <c r="C452" s="257"/>
      <c r="D452" s="257"/>
      <c r="E452" s="337"/>
      <c r="F452" s="33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</row>
    <row r="453" spans="1:23" ht="14.5" x14ac:dyDescent="0.35">
      <c r="A453" s="217"/>
      <c r="B453" s="257"/>
      <c r="C453" s="257"/>
      <c r="D453" s="257"/>
      <c r="E453" s="337"/>
      <c r="F453" s="33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</row>
    <row r="454" spans="1:23" ht="14.5" x14ac:dyDescent="0.35">
      <c r="A454" s="217"/>
      <c r="B454" s="257"/>
      <c r="C454" s="257"/>
      <c r="D454" s="257"/>
      <c r="E454" s="337"/>
      <c r="F454" s="33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</row>
    <row r="455" spans="1:23" ht="14.5" x14ac:dyDescent="0.35">
      <c r="A455" s="217"/>
      <c r="B455" s="257"/>
      <c r="C455" s="257"/>
      <c r="D455" s="257"/>
      <c r="E455" s="337"/>
      <c r="F455" s="33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</row>
    <row r="456" spans="1:23" ht="14.5" x14ac:dyDescent="0.35">
      <c r="A456" s="217"/>
      <c r="B456" s="257"/>
      <c r="C456" s="257"/>
      <c r="D456" s="257"/>
      <c r="E456" s="337"/>
      <c r="F456" s="33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</row>
    <row r="457" spans="1:23" ht="14.5" x14ac:dyDescent="0.35">
      <c r="A457" s="217"/>
      <c r="B457" s="257"/>
      <c r="C457" s="257"/>
      <c r="D457" s="257"/>
      <c r="E457" s="337"/>
      <c r="F457" s="33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</row>
    <row r="458" spans="1:23" ht="14.5" x14ac:dyDescent="0.35">
      <c r="A458" s="217"/>
      <c r="B458" s="257"/>
      <c r="C458" s="257"/>
      <c r="D458" s="257"/>
      <c r="E458" s="337"/>
      <c r="F458" s="33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</row>
    <row r="459" spans="1:23" ht="14.5" x14ac:dyDescent="0.35">
      <c r="A459" s="217"/>
      <c r="B459" s="257"/>
      <c r="C459" s="257"/>
      <c r="D459" s="257"/>
      <c r="E459" s="337"/>
      <c r="F459" s="33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</row>
    <row r="460" spans="1:23" ht="14.5" x14ac:dyDescent="0.35">
      <c r="A460" s="217"/>
      <c r="B460" s="257"/>
      <c r="C460" s="257"/>
      <c r="D460" s="257"/>
      <c r="E460" s="337"/>
      <c r="F460" s="33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</row>
    <row r="461" spans="1:23" ht="14.5" x14ac:dyDescent="0.35">
      <c r="A461" s="217"/>
      <c r="B461" s="257"/>
      <c r="C461" s="257"/>
      <c r="D461" s="257"/>
      <c r="E461" s="337"/>
      <c r="F461" s="33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</row>
    <row r="462" spans="1:23" ht="14.5" x14ac:dyDescent="0.35">
      <c r="A462" s="217"/>
      <c r="B462" s="257"/>
      <c r="C462" s="257"/>
      <c r="D462" s="257"/>
      <c r="E462" s="337"/>
      <c r="F462" s="33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</row>
    <row r="463" spans="1:23" ht="14.5" x14ac:dyDescent="0.35">
      <c r="A463" s="217"/>
      <c r="B463" s="257"/>
      <c r="C463" s="257"/>
      <c r="D463" s="257"/>
      <c r="E463" s="337"/>
      <c r="F463" s="33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</row>
    <row r="464" spans="1:23" ht="14.5" x14ac:dyDescent="0.35">
      <c r="A464" s="217"/>
      <c r="B464" s="257"/>
      <c r="C464" s="257"/>
      <c r="D464" s="257"/>
      <c r="E464" s="337"/>
      <c r="F464" s="33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</row>
    <row r="465" spans="1:23" ht="14.5" x14ac:dyDescent="0.35">
      <c r="A465" s="217"/>
      <c r="B465" s="257"/>
      <c r="C465" s="257"/>
      <c r="D465" s="257"/>
      <c r="E465" s="337"/>
      <c r="F465" s="33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</row>
    <row r="466" spans="1:23" ht="14.5" x14ac:dyDescent="0.35">
      <c r="A466" s="217"/>
      <c r="B466" s="257"/>
      <c r="C466" s="257"/>
      <c r="D466" s="257"/>
      <c r="E466" s="337"/>
      <c r="F466" s="33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</row>
    <row r="467" spans="1:23" ht="14.5" x14ac:dyDescent="0.35">
      <c r="A467" s="217"/>
      <c r="B467" s="257"/>
      <c r="C467" s="257"/>
      <c r="D467" s="257"/>
      <c r="E467" s="337"/>
      <c r="F467" s="33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</row>
    <row r="468" spans="1:23" ht="14.5" x14ac:dyDescent="0.35">
      <c r="A468" s="217"/>
      <c r="B468" s="257"/>
      <c r="C468" s="257"/>
      <c r="D468" s="257"/>
      <c r="E468" s="337"/>
      <c r="F468" s="33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</row>
    <row r="469" spans="1:23" ht="14.5" x14ac:dyDescent="0.35">
      <c r="A469" s="217"/>
      <c r="B469" s="257"/>
      <c r="C469" s="257"/>
      <c r="D469" s="257"/>
      <c r="E469" s="337"/>
      <c r="F469" s="33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</row>
    <row r="470" spans="1:23" ht="14.5" x14ac:dyDescent="0.35">
      <c r="A470" s="217"/>
      <c r="B470" s="257"/>
      <c r="C470" s="257"/>
      <c r="D470" s="257"/>
      <c r="E470" s="337"/>
      <c r="F470" s="33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</row>
    <row r="471" spans="1:23" ht="14.5" x14ac:dyDescent="0.35">
      <c r="A471" s="217"/>
      <c r="B471" s="257"/>
      <c r="C471" s="257"/>
      <c r="D471" s="257"/>
      <c r="E471" s="337"/>
      <c r="F471" s="33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</row>
    <row r="472" spans="1:23" ht="14.5" x14ac:dyDescent="0.35">
      <c r="A472" s="217"/>
      <c r="B472" s="257"/>
      <c r="C472" s="257"/>
      <c r="D472" s="257"/>
      <c r="E472" s="337"/>
      <c r="F472" s="33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</row>
    <row r="473" spans="1:23" ht="14.5" x14ac:dyDescent="0.35">
      <c r="A473" s="217"/>
      <c r="B473" s="257"/>
      <c r="C473" s="257"/>
      <c r="D473" s="257"/>
      <c r="E473" s="337"/>
      <c r="F473" s="33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</row>
    <row r="474" spans="1:23" ht="14.5" x14ac:dyDescent="0.35">
      <c r="A474" s="217"/>
      <c r="B474" s="257"/>
      <c r="C474" s="257"/>
      <c r="D474" s="257"/>
      <c r="E474" s="337"/>
      <c r="F474" s="33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</row>
    <row r="475" spans="1:23" ht="14.5" x14ac:dyDescent="0.35">
      <c r="A475" s="217"/>
      <c r="B475" s="257"/>
      <c r="C475" s="257"/>
      <c r="D475" s="257"/>
      <c r="E475" s="337"/>
      <c r="F475" s="33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</row>
    <row r="476" spans="1:23" ht="14.5" x14ac:dyDescent="0.35">
      <c r="A476" s="217"/>
      <c r="B476" s="257"/>
      <c r="C476" s="257"/>
      <c r="D476" s="257"/>
      <c r="E476" s="337"/>
      <c r="F476" s="33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</row>
    <row r="477" spans="1:23" ht="14.5" x14ac:dyDescent="0.35">
      <c r="A477" s="217"/>
      <c r="B477" s="257"/>
      <c r="C477" s="257"/>
      <c r="D477" s="257"/>
      <c r="E477" s="337"/>
      <c r="F477" s="33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</row>
    <row r="478" spans="1:23" ht="14.5" x14ac:dyDescent="0.35">
      <c r="A478" s="217"/>
      <c r="B478" s="257"/>
      <c r="C478" s="257"/>
      <c r="D478" s="257"/>
      <c r="E478" s="337"/>
      <c r="F478" s="33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</row>
    <row r="479" spans="1:23" ht="14.5" x14ac:dyDescent="0.35">
      <c r="A479" s="217"/>
      <c r="B479" s="257"/>
      <c r="C479" s="257"/>
      <c r="D479" s="257"/>
      <c r="E479" s="337"/>
      <c r="F479" s="33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</row>
    <row r="480" spans="1:23" ht="14.5" x14ac:dyDescent="0.35">
      <c r="A480" s="217"/>
      <c r="B480" s="257"/>
      <c r="C480" s="257"/>
      <c r="D480" s="257"/>
      <c r="E480" s="337"/>
      <c r="F480" s="33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</row>
    <row r="481" spans="1:23" ht="14.5" x14ac:dyDescent="0.35">
      <c r="A481" s="217"/>
      <c r="B481" s="257"/>
      <c r="C481" s="257"/>
      <c r="D481" s="257"/>
      <c r="E481" s="337"/>
      <c r="F481" s="33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</row>
    <row r="482" spans="1:23" ht="14.5" x14ac:dyDescent="0.35">
      <c r="A482" s="217"/>
      <c r="B482" s="257"/>
      <c r="C482" s="257"/>
      <c r="D482" s="257"/>
      <c r="E482" s="337"/>
      <c r="F482" s="33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</row>
    <row r="483" spans="1:23" ht="14.5" x14ac:dyDescent="0.35">
      <c r="A483" s="217"/>
      <c r="B483" s="257"/>
      <c r="C483" s="257"/>
      <c r="D483" s="257"/>
      <c r="E483" s="337"/>
      <c r="F483" s="33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</row>
    <row r="484" spans="1:23" ht="14.5" x14ac:dyDescent="0.35">
      <c r="A484" s="217"/>
      <c r="B484" s="257"/>
      <c r="C484" s="257"/>
      <c r="D484" s="257"/>
      <c r="E484" s="337"/>
      <c r="F484" s="33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</row>
    <row r="485" spans="1:23" ht="14.5" x14ac:dyDescent="0.35">
      <c r="A485" s="217"/>
      <c r="B485" s="257"/>
      <c r="C485" s="257"/>
      <c r="D485" s="257"/>
      <c r="E485" s="337"/>
      <c r="F485" s="33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</row>
    <row r="486" spans="1:23" ht="14.5" x14ac:dyDescent="0.35">
      <c r="A486" s="217"/>
      <c r="B486" s="257"/>
      <c r="C486" s="257"/>
      <c r="D486" s="257"/>
      <c r="E486" s="337"/>
      <c r="F486" s="33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</row>
    <row r="487" spans="1:23" ht="14.5" x14ac:dyDescent="0.35">
      <c r="A487" s="217"/>
      <c r="B487" s="257"/>
      <c r="C487" s="257"/>
      <c r="D487" s="257"/>
      <c r="E487" s="337"/>
      <c r="F487" s="33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</row>
    <row r="488" spans="1:23" ht="14.5" x14ac:dyDescent="0.35">
      <c r="A488" s="217"/>
      <c r="B488" s="257"/>
      <c r="C488" s="257"/>
      <c r="D488" s="257"/>
      <c r="E488" s="337"/>
      <c r="F488" s="33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</row>
    <row r="489" spans="1:23" ht="14.5" x14ac:dyDescent="0.35">
      <c r="A489" s="217"/>
      <c r="B489" s="257"/>
      <c r="C489" s="257"/>
      <c r="D489" s="257"/>
      <c r="E489" s="337"/>
      <c r="F489" s="33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</row>
    <row r="490" spans="1:23" ht="14.5" x14ac:dyDescent="0.35">
      <c r="A490" s="217"/>
      <c r="B490" s="257"/>
      <c r="C490" s="257"/>
      <c r="D490" s="257"/>
      <c r="E490" s="337"/>
      <c r="F490" s="33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</row>
    <row r="491" spans="1:23" ht="14.5" x14ac:dyDescent="0.35">
      <c r="A491" s="217"/>
      <c r="B491" s="257"/>
      <c r="C491" s="257"/>
      <c r="D491" s="257"/>
      <c r="E491" s="337"/>
      <c r="F491" s="33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</row>
    <row r="492" spans="1:23" ht="14.5" x14ac:dyDescent="0.35">
      <c r="A492" s="217"/>
      <c r="B492" s="257"/>
      <c r="C492" s="257"/>
      <c r="D492" s="257"/>
      <c r="E492" s="337"/>
      <c r="F492" s="33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</row>
    <row r="493" spans="1:23" ht="14.5" x14ac:dyDescent="0.35">
      <c r="A493" s="217"/>
      <c r="B493" s="257"/>
      <c r="C493" s="257"/>
      <c r="D493" s="257"/>
      <c r="E493" s="337"/>
      <c r="F493" s="33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</row>
    <row r="494" spans="1:23" ht="14.5" x14ac:dyDescent="0.35">
      <c r="A494" s="217"/>
      <c r="B494" s="257"/>
      <c r="C494" s="257"/>
      <c r="D494" s="257"/>
      <c r="E494" s="337"/>
      <c r="F494" s="33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</row>
    <row r="495" spans="1:23" ht="14.5" x14ac:dyDescent="0.35">
      <c r="A495" s="217"/>
      <c r="B495" s="257"/>
      <c r="C495" s="257"/>
      <c r="D495" s="257"/>
      <c r="E495" s="337"/>
      <c r="F495" s="33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</row>
    <row r="496" spans="1:23" ht="14.5" x14ac:dyDescent="0.35">
      <c r="A496" s="217"/>
      <c r="B496" s="257"/>
      <c r="C496" s="257"/>
      <c r="D496" s="257"/>
      <c r="E496" s="337"/>
      <c r="F496" s="33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</row>
    <row r="497" spans="1:23" ht="14.5" x14ac:dyDescent="0.35">
      <c r="A497" s="217"/>
      <c r="B497" s="257"/>
      <c r="C497" s="257"/>
      <c r="D497" s="257"/>
      <c r="E497" s="337"/>
      <c r="F497" s="33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</row>
    <row r="498" spans="1:23" ht="14.5" x14ac:dyDescent="0.35">
      <c r="A498" s="217"/>
      <c r="B498" s="257"/>
      <c r="C498" s="257"/>
      <c r="D498" s="257"/>
      <c r="E498" s="337"/>
      <c r="F498" s="33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</row>
    <row r="499" spans="1:23" ht="14.5" x14ac:dyDescent="0.35">
      <c r="A499" s="217"/>
      <c r="B499" s="257"/>
      <c r="C499" s="257"/>
      <c r="D499" s="257"/>
      <c r="E499" s="337"/>
      <c r="F499" s="33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</row>
    <row r="500" spans="1:23" ht="14.5" x14ac:dyDescent="0.35">
      <c r="A500" s="217"/>
      <c r="B500" s="257"/>
      <c r="C500" s="257"/>
      <c r="D500" s="257"/>
      <c r="E500" s="337"/>
      <c r="F500" s="33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</row>
    <row r="501" spans="1:23" ht="14.5" x14ac:dyDescent="0.35">
      <c r="A501" s="217"/>
      <c r="B501" s="257"/>
      <c r="C501" s="257"/>
      <c r="D501" s="257"/>
      <c r="E501" s="337"/>
      <c r="F501" s="33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</row>
    <row r="502" spans="1:23" ht="14.5" x14ac:dyDescent="0.35">
      <c r="A502" s="217"/>
      <c r="B502" s="257"/>
      <c r="C502" s="257"/>
      <c r="D502" s="257"/>
      <c r="E502" s="337"/>
      <c r="F502" s="33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</row>
    <row r="503" spans="1:23" ht="14.5" x14ac:dyDescent="0.35">
      <c r="A503" s="217"/>
      <c r="B503" s="257"/>
      <c r="C503" s="257"/>
      <c r="D503" s="257"/>
      <c r="E503" s="337"/>
      <c r="F503" s="33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</row>
    <row r="504" spans="1:23" ht="14.5" x14ac:dyDescent="0.35">
      <c r="A504" s="217"/>
      <c r="B504" s="257"/>
      <c r="C504" s="257"/>
      <c r="D504" s="257"/>
      <c r="E504" s="337"/>
      <c r="F504" s="33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</row>
    <row r="505" spans="1:23" ht="14.5" x14ac:dyDescent="0.35">
      <c r="A505" s="217"/>
      <c r="B505" s="257"/>
      <c r="C505" s="257"/>
      <c r="D505" s="257"/>
      <c r="E505" s="337"/>
      <c r="F505" s="33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</row>
    <row r="506" spans="1:23" ht="14.5" x14ac:dyDescent="0.35">
      <c r="A506" s="217"/>
      <c r="B506" s="257"/>
      <c r="C506" s="257"/>
      <c r="D506" s="257"/>
      <c r="E506" s="337"/>
      <c r="F506" s="33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</row>
    <row r="507" spans="1:23" ht="14.5" x14ac:dyDescent="0.35">
      <c r="A507" s="217"/>
      <c r="B507" s="257"/>
      <c r="C507" s="257"/>
      <c r="D507" s="257"/>
      <c r="E507" s="337"/>
      <c r="F507" s="33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</row>
    <row r="508" spans="1:23" ht="14.5" x14ac:dyDescent="0.35">
      <c r="A508" s="217"/>
      <c r="B508" s="257"/>
      <c r="C508" s="257"/>
      <c r="D508" s="257"/>
      <c r="E508" s="337"/>
      <c r="F508" s="33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</row>
    <row r="509" spans="1:23" ht="14.5" x14ac:dyDescent="0.35">
      <c r="A509" s="217"/>
      <c r="B509" s="257"/>
      <c r="C509" s="257"/>
      <c r="D509" s="257"/>
      <c r="E509" s="337"/>
      <c r="F509" s="33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</row>
    <row r="510" spans="1:23" ht="14.5" x14ac:dyDescent="0.35">
      <c r="A510" s="217"/>
      <c r="B510" s="257"/>
      <c r="C510" s="257"/>
      <c r="D510" s="257"/>
      <c r="E510" s="337"/>
      <c r="F510" s="33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</row>
    <row r="511" spans="1:23" ht="14.5" x14ac:dyDescent="0.35">
      <c r="A511" s="217"/>
      <c r="B511" s="257"/>
      <c r="C511" s="257"/>
      <c r="D511" s="257"/>
      <c r="E511" s="337"/>
      <c r="F511" s="33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</row>
    <row r="512" spans="1:23" ht="14.5" x14ac:dyDescent="0.35">
      <c r="A512" s="217"/>
      <c r="B512" s="257"/>
      <c r="C512" s="257"/>
      <c r="D512" s="257"/>
      <c r="E512" s="337"/>
      <c r="F512" s="33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</row>
    <row r="513" spans="1:23" ht="14.5" x14ac:dyDescent="0.35">
      <c r="A513" s="217"/>
      <c r="B513" s="257"/>
      <c r="C513" s="257"/>
      <c r="D513" s="257"/>
      <c r="E513" s="337"/>
      <c r="F513" s="33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</row>
    <row r="514" spans="1:23" ht="14.5" x14ac:dyDescent="0.35">
      <c r="A514" s="217"/>
      <c r="B514" s="257"/>
      <c r="C514" s="257"/>
      <c r="D514" s="257"/>
      <c r="E514" s="337"/>
      <c r="F514" s="33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</row>
    <row r="515" spans="1:23" ht="14.5" x14ac:dyDescent="0.35">
      <c r="A515" s="217"/>
      <c r="B515" s="257"/>
      <c r="C515" s="257"/>
      <c r="D515" s="257"/>
      <c r="E515" s="337"/>
      <c r="F515" s="33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</row>
    <row r="516" spans="1:23" ht="14.5" x14ac:dyDescent="0.35">
      <c r="A516" s="217"/>
      <c r="B516" s="257"/>
      <c r="C516" s="257"/>
      <c r="D516" s="257"/>
      <c r="E516" s="337"/>
      <c r="F516" s="33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</row>
    <row r="517" spans="1:23" ht="14.5" x14ac:dyDescent="0.35">
      <c r="A517" s="217"/>
      <c r="B517" s="257"/>
      <c r="C517" s="257"/>
      <c r="D517" s="257"/>
      <c r="E517" s="337"/>
      <c r="F517" s="33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</row>
    <row r="518" spans="1:23" ht="14.5" x14ac:dyDescent="0.35">
      <c r="A518" s="217"/>
      <c r="B518" s="257"/>
      <c r="C518" s="257"/>
      <c r="D518" s="257"/>
      <c r="E518" s="337"/>
      <c r="F518" s="33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</row>
    <row r="519" spans="1:23" ht="14.5" x14ac:dyDescent="0.35">
      <c r="A519" s="217"/>
      <c r="B519" s="257"/>
      <c r="C519" s="257"/>
      <c r="D519" s="257"/>
      <c r="E519" s="337"/>
      <c r="F519" s="33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</row>
    <row r="520" spans="1:23" ht="14.5" x14ac:dyDescent="0.35">
      <c r="A520" s="217"/>
      <c r="B520" s="257"/>
      <c r="C520" s="257"/>
      <c r="D520" s="257"/>
      <c r="E520" s="337"/>
      <c r="F520" s="33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</row>
    <row r="521" spans="1:23" ht="14.5" x14ac:dyDescent="0.35">
      <c r="A521" s="217"/>
      <c r="B521" s="257"/>
      <c r="C521" s="257"/>
      <c r="D521" s="257"/>
      <c r="E521" s="337"/>
      <c r="F521" s="33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</row>
    <row r="522" spans="1:23" ht="14.5" x14ac:dyDescent="0.35">
      <c r="A522" s="217"/>
      <c r="B522" s="257"/>
      <c r="C522" s="257"/>
      <c r="D522" s="257"/>
      <c r="E522" s="337"/>
      <c r="F522" s="33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</row>
    <row r="523" spans="1:23" ht="14.5" x14ac:dyDescent="0.35">
      <c r="A523" s="217"/>
      <c r="B523" s="257"/>
      <c r="C523" s="257"/>
      <c r="D523" s="257"/>
      <c r="E523" s="337"/>
      <c r="F523" s="33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</row>
    <row r="524" spans="1:23" ht="14.5" x14ac:dyDescent="0.35">
      <c r="A524" s="217"/>
      <c r="B524" s="257"/>
      <c r="C524" s="257"/>
      <c r="D524" s="257"/>
      <c r="E524" s="337"/>
      <c r="F524" s="33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</row>
    <row r="525" spans="1:23" ht="14.5" x14ac:dyDescent="0.35">
      <c r="A525" s="217"/>
      <c r="B525" s="257"/>
      <c r="C525" s="257"/>
      <c r="D525" s="257"/>
      <c r="E525" s="337"/>
      <c r="F525" s="33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</row>
    <row r="526" spans="1:23" ht="14.5" x14ac:dyDescent="0.35">
      <c r="A526" s="217"/>
      <c r="B526" s="257"/>
      <c r="C526" s="257"/>
      <c r="D526" s="257"/>
      <c r="E526" s="337"/>
      <c r="F526" s="33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</row>
    <row r="527" spans="1:23" ht="14.5" x14ac:dyDescent="0.35">
      <c r="A527" s="217"/>
      <c r="B527" s="257"/>
      <c r="C527" s="257"/>
      <c r="D527" s="257"/>
      <c r="E527" s="337"/>
      <c r="F527" s="33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</row>
    <row r="528" spans="1:23" ht="14.5" x14ac:dyDescent="0.35">
      <c r="A528" s="217"/>
      <c r="B528" s="257"/>
      <c r="C528" s="257"/>
      <c r="D528" s="257"/>
      <c r="E528" s="337"/>
      <c r="F528" s="33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</row>
    <row r="529" spans="1:23" ht="14.5" x14ac:dyDescent="0.35">
      <c r="A529" s="217"/>
      <c r="B529" s="257"/>
      <c r="C529" s="257"/>
      <c r="D529" s="257"/>
      <c r="E529" s="337"/>
      <c r="F529" s="33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</row>
    <row r="530" spans="1:23" ht="14.5" x14ac:dyDescent="0.35">
      <c r="A530" s="217"/>
      <c r="B530" s="257"/>
      <c r="C530" s="257"/>
      <c r="D530" s="257"/>
      <c r="E530" s="337"/>
      <c r="F530" s="33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</row>
    <row r="531" spans="1:23" ht="14.5" x14ac:dyDescent="0.35">
      <c r="A531" s="217"/>
      <c r="B531" s="257"/>
      <c r="C531" s="257"/>
      <c r="D531" s="257"/>
      <c r="E531" s="337"/>
      <c r="F531" s="33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</row>
    <row r="532" spans="1:23" ht="14.5" x14ac:dyDescent="0.35">
      <c r="A532" s="217"/>
      <c r="B532" s="257"/>
      <c r="C532" s="257"/>
      <c r="D532" s="257"/>
      <c r="E532" s="337"/>
      <c r="F532" s="33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</row>
    <row r="533" spans="1:23" ht="14.5" x14ac:dyDescent="0.35">
      <c r="A533" s="217"/>
      <c r="B533" s="257"/>
      <c r="C533" s="257"/>
      <c r="D533" s="257"/>
      <c r="E533" s="337"/>
      <c r="F533" s="33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</row>
    <row r="534" spans="1:23" ht="14.5" x14ac:dyDescent="0.35">
      <c r="A534" s="217"/>
      <c r="B534" s="257"/>
      <c r="C534" s="257"/>
      <c r="D534" s="257"/>
      <c r="E534" s="337"/>
      <c r="F534" s="33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</row>
    <row r="535" spans="1:23" ht="14.5" x14ac:dyDescent="0.35">
      <c r="A535" s="217"/>
      <c r="B535" s="257"/>
      <c r="C535" s="257"/>
      <c r="D535" s="257"/>
      <c r="E535" s="337"/>
      <c r="F535" s="33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</row>
    <row r="536" spans="1:23" ht="14.5" x14ac:dyDescent="0.35">
      <c r="A536" s="217"/>
      <c r="B536" s="257"/>
      <c r="C536" s="257"/>
      <c r="D536" s="257"/>
      <c r="E536" s="337"/>
      <c r="F536" s="33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</row>
    <row r="537" spans="1:23" ht="14.5" x14ac:dyDescent="0.35">
      <c r="A537" s="217"/>
      <c r="B537" s="257"/>
      <c r="C537" s="257"/>
      <c r="D537" s="257"/>
      <c r="E537" s="337"/>
      <c r="F537" s="33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</row>
    <row r="538" spans="1:23" ht="14.5" x14ac:dyDescent="0.35">
      <c r="A538" s="217"/>
      <c r="B538" s="257"/>
      <c r="C538" s="257"/>
      <c r="D538" s="257"/>
      <c r="E538" s="337"/>
      <c r="F538" s="33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</row>
    <row r="539" spans="1:23" ht="14.5" x14ac:dyDescent="0.35">
      <c r="A539" s="217"/>
      <c r="B539" s="257"/>
      <c r="C539" s="257"/>
      <c r="D539" s="257"/>
      <c r="E539" s="337"/>
      <c r="F539" s="33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</row>
    <row r="540" spans="1:23" ht="14.5" x14ac:dyDescent="0.35">
      <c r="A540" s="217"/>
      <c r="B540" s="257"/>
      <c r="C540" s="257"/>
      <c r="D540" s="257"/>
      <c r="E540" s="337"/>
      <c r="F540" s="33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</row>
    <row r="541" spans="1:23" ht="14.5" x14ac:dyDescent="0.35">
      <c r="A541" s="217"/>
      <c r="B541" s="257"/>
      <c r="C541" s="257"/>
      <c r="D541" s="257"/>
      <c r="E541" s="337"/>
      <c r="F541" s="33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</row>
    <row r="542" spans="1:23" ht="14.5" x14ac:dyDescent="0.35">
      <c r="A542" s="217"/>
      <c r="B542" s="257"/>
      <c r="C542" s="257"/>
      <c r="D542" s="257"/>
      <c r="E542" s="337"/>
      <c r="F542" s="33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</row>
    <row r="543" spans="1:23" ht="14.5" x14ac:dyDescent="0.35">
      <c r="A543" s="217"/>
      <c r="B543" s="257"/>
      <c r="C543" s="257"/>
      <c r="D543" s="257"/>
      <c r="E543" s="337"/>
      <c r="F543" s="33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</row>
    <row r="544" spans="1:23" ht="14.5" x14ac:dyDescent="0.35">
      <c r="A544" s="217"/>
      <c r="B544" s="257"/>
      <c r="C544" s="257"/>
      <c r="D544" s="257"/>
      <c r="E544" s="337"/>
      <c r="F544" s="33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</row>
    <row r="545" spans="1:23" ht="14.5" x14ac:dyDescent="0.35">
      <c r="A545" s="217"/>
      <c r="B545" s="257"/>
      <c r="C545" s="257"/>
      <c r="D545" s="257"/>
      <c r="E545" s="337"/>
      <c r="F545" s="33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</row>
    <row r="546" spans="1:23" ht="14.5" x14ac:dyDescent="0.35">
      <c r="A546" s="217"/>
      <c r="B546" s="257"/>
      <c r="C546" s="257"/>
      <c r="D546" s="257"/>
      <c r="E546" s="337"/>
      <c r="F546" s="33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</row>
    <row r="547" spans="1:23" ht="14.5" x14ac:dyDescent="0.35">
      <c r="A547" s="217"/>
      <c r="B547" s="257"/>
      <c r="C547" s="257"/>
      <c r="D547" s="257"/>
      <c r="E547" s="337"/>
      <c r="F547" s="33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</row>
    <row r="548" spans="1:23" ht="14.5" x14ac:dyDescent="0.35">
      <c r="A548" s="217"/>
      <c r="B548" s="257"/>
      <c r="C548" s="257"/>
      <c r="D548" s="257"/>
      <c r="E548" s="337"/>
      <c r="F548" s="33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</row>
    <row r="549" spans="1:23" ht="14.5" x14ac:dyDescent="0.35">
      <c r="A549" s="217"/>
      <c r="B549" s="257"/>
      <c r="C549" s="257"/>
      <c r="D549" s="257"/>
      <c r="E549" s="337"/>
      <c r="F549" s="33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</row>
    <row r="550" spans="1:23" ht="14.5" x14ac:dyDescent="0.35">
      <c r="A550" s="217"/>
      <c r="B550" s="257"/>
      <c r="C550" s="257"/>
      <c r="D550" s="257"/>
      <c r="E550" s="337"/>
      <c r="F550" s="33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</row>
    <row r="551" spans="1:23" ht="14.5" x14ac:dyDescent="0.35">
      <c r="A551" s="217"/>
      <c r="B551" s="257"/>
      <c r="C551" s="257"/>
      <c r="D551" s="257"/>
      <c r="E551" s="337"/>
      <c r="F551" s="33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</row>
    <row r="552" spans="1:23" ht="14.5" x14ac:dyDescent="0.35">
      <c r="A552" s="217"/>
      <c r="B552" s="257"/>
      <c r="C552" s="257"/>
      <c r="D552" s="257"/>
      <c r="E552" s="337"/>
      <c r="F552" s="33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</row>
    <row r="553" spans="1:23" ht="14.5" x14ac:dyDescent="0.35">
      <c r="A553" s="217"/>
      <c r="B553" s="257"/>
      <c r="C553" s="257"/>
      <c r="D553" s="257"/>
      <c r="E553" s="337"/>
      <c r="F553" s="33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</row>
    <row r="554" spans="1:23" ht="14.5" x14ac:dyDescent="0.35">
      <c r="A554" s="217"/>
      <c r="B554" s="257"/>
      <c r="C554" s="257"/>
      <c r="D554" s="257"/>
      <c r="E554" s="337"/>
      <c r="F554" s="33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</row>
    <row r="555" spans="1:23" ht="14.5" x14ac:dyDescent="0.35">
      <c r="A555" s="217"/>
      <c r="B555" s="257"/>
      <c r="C555" s="257"/>
      <c r="D555" s="257"/>
      <c r="E555" s="337"/>
      <c r="F555" s="33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</row>
    <row r="556" spans="1:23" ht="14.5" x14ac:dyDescent="0.35">
      <c r="A556" s="217"/>
      <c r="B556" s="257"/>
      <c r="C556" s="257"/>
      <c r="D556" s="257"/>
      <c r="E556" s="337"/>
      <c r="F556" s="33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</row>
    <row r="557" spans="1:23" ht="14.5" x14ac:dyDescent="0.35">
      <c r="A557" s="217"/>
      <c r="B557" s="257"/>
      <c r="C557" s="257"/>
      <c r="D557" s="257"/>
      <c r="E557" s="337"/>
      <c r="F557" s="33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</row>
    <row r="558" spans="1:23" ht="14.5" x14ac:dyDescent="0.35">
      <c r="A558" s="217"/>
      <c r="B558" s="257"/>
      <c r="C558" s="257"/>
      <c r="D558" s="257"/>
      <c r="E558" s="337"/>
      <c r="F558" s="33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</row>
    <row r="559" spans="1:23" ht="14.5" x14ac:dyDescent="0.35">
      <c r="A559" s="217"/>
      <c r="B559" s="257"/>
      <c r="C559" s="257"/>
      <c r="D559" s="257"/>
      <c r="E559" s="337"/>
      <c r="F559" s="33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</row>
    <row r="560" spans="1:23" ht="14.5" x14ac:dyDescent="0.35">
      <c r="A560" s="217"/>
      <c r="B560" s="257"/>
      <c r="C560" s="257"/>
      <c r="D560" s="257"/>
      <c r="E560" s="337"/>
      <c r="F560" s="33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</row>
    <row r="561" spans="1:23" ht="14.5" x14ac:dyDescent="0.35">
      <c r="A561" s="217"/>
      <c r="B561" s="257"/>
      <c r="C561" s="257"/>
      <c r="D561" s="257"/>
      <c r="E561" s="337"/>
      <c r="F561" s="33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</row>
    <row r="562" spans="1:23" ht="14.5" x14ac:dyDescent="0.35">
      <c r="A562" s="217"/>
      <c r="B562" s="257"/>
      <c r="C562" s="257"/>
      <c r="D562" s="257"/>
      <c r="E562" s="337"/>
      <c r="F562" s="33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</row>
    <row r="563" spans="1:23" ht="14.5" x14ac:dyDescent="0.35">
      <c r="A563" s="217"/>
      <c r="B563" s="257"/>
      <c r="C563" s="257"/>
      <c r="D563" s="257"/>
      <c r="E563" s="337"/>
      <c r="F563" s="33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</row>
    <row r="564" spans="1:23" ht="14.5" x14ac:dyDescent="0.35">
      <c r="A564" s="217"/>
      <c r="B564" s="257"/>
      <c r="C564" s="257"/>
      <c r="D564" s="257"/>
      <c r="E564" s="337"/>
      <c r="F564" s="33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</row>
    <row r="565" spans="1:23" ht="14.5" x14ac:dyDescent="0.35">
      <c r="A565" s="217"/>
      <c r="B565" s="257"/>
      <c r="C565" s="257"/>
      <c r="D565" s="257"/>
      <c r="E565" s="337"/>
      <c r="F565" s="33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</row>
    <row r="566" spans="1:23" ht="14.5" x14ac:dyDescent="0.35">
      <c r="A566" s="217"/>
      <c r="B566" s="257"/>
      <c r="C566" s="257"/>
      <c r="D566" s="257"/>
      <c r="E566" s="337"/>
      <c r="F566" s="33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</row>
    <row r="567" spans="1:23" ht="14.5" x14ac:dyDescent="0.35">
      <c r="A567" s="217"/>
      <c r="B567" s="257"/>
      <c r="C567" s="257"/>
      <c r="D567" s="257"/>
      <c r="E567" s="337"/>
      <c r="F567" s="33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</row>
    <row r="568" spans="1:23" ht="14.5" x14ac:dyDescent="0.35">
      <c r="A568" s="217"/>
      <c r="B568" s="257"/>
      <c r="C568" s="257"/>
      <c r="D568" s="257"/>
      <c r="E568" s="337"/>
      <c r="F568" s="33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</row>
    <row r="569" spans="1:23" ht="14.5" x14ac:dyDescent="0.35">
      <c r="A569" s="217"/>
      <c r="B569" s="257"/>
      <c r="C569" s="257"/>
      <c r="D569" s="257"/>
      <c r="E569" s="337"/>
      <c r="F569" s="33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</row>
    <row r="570" spans="1:23" ht="14.5" x14ac:dyDescent="0.35">
      <c r="A570" s="217"/>
      <c r="B570" s="257"/>
      <c r="C570" s="257"/>
      <c r="D570" s="257"/>
      <c r="E570" s="337"/>
      <c r="F570" s="33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</row>
    <row r="571" spans="1:23" ht="14.5" x14ac:dyDescent="0.35">
      <c r="A571" s="217"/>
      <c r="B571" s="257"/>
      <c r="C571" s="257"/>
      <c r="D571" s="257"/>
      <c r="E571" s="337"/>
      <c r="F571" s="33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</row>
    <row r="572" spans="1:23" ht="14.5" x14ac:dyDescent="0.35">
      <c r="A572" s="217"/>
      <c r="B572" s="257"/>
      <c r="C572" s="257"/>
      <c r="D572" s="257"/>
      <c r="E572" s="337"/>
      <c r="F572" s="33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</row>
    <row r="573" spans="1:23" ht="14.5" x14ac:dyDescent="0.35">
      <c r="A573" s="217"/>
      <c r="B573" s="257"/>
      <c r="C573" s="257"/>
      <c r="D573" s="257"/>
      <c r="E573" s="337"/>
      <c r="F573" s="33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</row>
    <row r="574" spans="1:23" ht="14.5" x14ac:dyDescent="0.35">
      <c r="A574" s="217"/>
      <c r="B574" s="257"/>
      <c r="C574" s="257"/>
      <c r="D574" s="257"/>
      <c r="E574" s="337"/>
      <c r="F574" s="33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</row>
    <row r="575" spans="1:23" ht="14.5" x14ac:dyDescent="0.35">
      <c r="A575" s="217"/>
      <c r="B575" s="257"/>
      <c r="C575" s="257"/>
      <c r="D575" s="257"/>
      <c r="E575" s="337"/>
      <c r="F575" s="33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</row>
    <row r="576" spans="1:23" ht="14.5" x14ac:dyDescent="0.35">
      <c r="A576" s="217"/>
      <c r="B576" s="257"/>
      <c r="C576" s="257"/>
      <c r="D576" s="257"/>
      <c r="E576" s="337"/>
      <c r="F576" s="33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</row>
    <row r="577" spans="1:23" ht="14.5" x14ac:dyDescent="0.35">
      <c r="A577" s="217"/>
      <c r="B577" s="257"/>
      <c r="C577" s="257"/>
      <c r="D577" s="257"/>
      <c r="E577" s="337"/>
      <c r="F577" s="33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</row>
    <row r="578" spans="1:23" ht="14.5" x14ac:dyDescent="0.35">
      <c r="A578" s="217"/>
      <c r="B578" s="257"/>
      <c r="C578" s="257"/>
      <c r="D578" s="257"/>
      <c r="E578" s="337"/>
      <c r="F578" s="33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</row>
    <row r="579" spans="1:23" ht="14.5" x14ac:dyDescent="0.35">
      <c r="A579" s="217"/>
      <c r="B579" s="257"/>
      <c r="C579" s="257"/>
      <c r="D579" s="257"/>
      <c r="E579" s="337"/>
      <c r="F579" s="33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</row>
    <row r="580" spans="1:23" ht="14.5" x14ac:dyDescent="0.35">
      <c r="A580" s="217"/>
      <c r="B580" s="257"/>
      <c r="C580" s="257"/>
      <c r="D580" s="257"/>
      <c r="E580" s="337"/>
      <c r="F580" s="33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</row>
    <row r="581" spans="1:23" ht="14.5" x14ac:dyDescent="0.35">
      <c r="A581" s="217"/>
      <c r="B581" s="257"/>
      <c r="C581" s="257"/>
      <c r="D581" s="257"/>
      <c r="E581" s="337"/>
      <c r="F581" s="33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</row>
    <row r="582" spans="1:23" ht="14.5" x14ac:dyDescent="0.35">
      <c r="A582" s="217"/>
      <c r="B582" s="257"/>
      <c r="C582" s="257"/>
      <c r="D582" s="257"/>
      <c r="E582" s="337"/>
      <c r="F582" s="33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</row>
    <row r="583" spans="1:23" ht="14.5" x14ac:dyDescent="0.35">
      <c r="A583" s="217"/>
      <c r="B583" s="257"/>
      <c r="C583" s="257"/>
      <c r="D583" s="257"/>
      <c r="E583" s="337"/>
      <c r="F583" s="33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</row>
    <row r="584" spans="1:23" ht="14.5" x14ac:dyDescent="0.35">
      <c r="A584" s="217"/>
      <c r="B584" s="257"/>
      <c r="C584" s="257"/>
      <c r="D584" s="257"/>
      <c r="E584" s="337"/>
      <c r="F584" s="33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</row>
    <row r="585" spans="1:23" ht="14.5" x14ac:dyDescent="0.35">
      <c r="A585" s="217"/>
      <c r="B585" s="257"/>
      <c r="C585" s="257"/>
      <c r="D585" s="257"/>
      <c r="E585" s="337"/>
      <c r="F585" s="33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</row>
    <row r="586" spans="1:23" ht="14.5" x14ac:dyDescent="0.35">
      <c r="A586" s="217"/>
      <c r="B586" s="257"/>
      <c r="C586" s="257"/>
      <c r="D586" s="257"/>
      <c r="E586" s="337"/>
      <c r="F586" s="33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</row>
    <row r="587" spans="1:23" ht="14.5" x14ac:dyDescent="0.35">
      <c r="A587" s="217"/>
      <c r="B587" s="257"/>
      <c r="C587" s="257"/>
      <c r="D587" s="257"/>
      <c r="E587" s="337"/>
      <c r="F587" s="33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</row>
    <row r="588" spans="1:23" ht="14.5" x14ac:dyDescent="0.35">
      <c r="A588" s="217"/>
      <c r="B588" s="257"/>
      <c r="C588" s="257"/>
      <c r="D588" s="257"/>
      <c r="E588" s="337"/>
      <c r="F588" s="33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</row>
    <row r="589" spans="1:23" ht="14.5" x14ac:dyDescent="0.35">
      <c r="A589" s="217"/>
      <c r="B589" s="257"/>
      <c r="C589" s="257"/>
      <c r="D589" s="257"/>
      <c r="E589" s="337"/>
      <c r="F589" s="33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</row>
    <row r="590" spans="1:23" ht="14.5" x14ac:dyDescent="0.35">
      <c r="A590" s="217"/>
      <c r="B590" s="257"/>
      <c r="C590" s="257"/>
      <c r="D590" s="257"/>
      <c r="E590" s="337"/>
      <c r="F590" s="33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</row>
    <row r="591" spans="1:23" ht="14.5" x14ac:dyDescent="0.35">
      <c r="A591" s="217"/>
      <c r="B591" s="257"/>
      <c r="C591" s="257"/>
      <c r="D591" s="257"/>
      <c r="E591" s="337"/>
      <c r="F591" s="33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</row>
    <row r="592" spans="1:23" ht="14.5" x14ac:dyDescent="0.35">
      <c r="A592" s="217"/>
      <c r="B592" s="257"/>
      <c r="C592" s="257"/>
      <c r="D592" s="257"/>
      <c r="E592" s="337"/>
      <c r="F592" s="33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</row>
    <row r="593" spans="1:23" ht="14.5" x14ac:dyDescent="0.35">
      <c r="A593" s="217"/>
      <c r="B593" s="257"/>
      <c r="C593" s="257"/>
      <c r="D593" s="257"/>
      <c r="E593" s="337"/>
      <c r="F593" s="33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</row>
    <row r="594" spans="1:23" ht="14.5" x14ac:dyDescent="0.35">
      <c r="A594" s="217"/>
      <c r="B594" s="257"/>
      <c r="C594" s="257"/>
      <c r="D594" s="257"/>
      <c r="E594" s="337"/>
      <c r="F594" s="33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</row>
    <row r="595" spans="1:23" ht="14.5" x14ac:dyDescent="0.35">
      <c r="A595" s="217"/>
      <c r="B595" s="257"/>
      <c r="C595" s="257"/>
      <c r="D595" s="257"/>
      <c r="E595" s="337"/>
      <c r="F595" s="33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</row>
    <row r="596" spans="1:23" ht="14.5" x14ac:dyDescent="0.35">
      <c r="A596" s="217"/>
      <c r="B596" s="257"/>
      <c r="C596" s="257"/>
      <c r="D596" s="257"/>
      <c r="E596" s="337"/>
      <c r="F596" s="33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</row>
    <row r="597" spans="1:23" ht="14.5" x14ac:dyDescent="0.35">
      <c r="A597" s="217"/>
      <c r="B597" s="257"/>
      <c r="C597" s="257"/>
      <c r="D597" s="257"/>
      <c r="E597" s="337"/>
      <c r="F597" s="33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</row>
    <row r="598" spans="1:23" ht="14.5" x14ac:dyDescent="0.35">
      <c r="A598" s="217"/>
      <c r="B598" s="257"/>
      <c r="C598" s="257"/>
      <c r="D598" s="257"/>
      <c r="E598" s="337"/>
      <c r="F598" s="33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</row>
    <row r="599" spans="1:23" ht="14.5" x14ac:dyDescent="0.35">
      <c r="A599" s="217"/>
      <c r="B599" s="257"/>
      <c r="C599" s="257"/>
      <c r="D599" s="257"/>
      <c r="E599" s="337"/>
      <c r="F599" s="33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</row>
    <row r="600" spans="1:23" ht="14.5" x14ac:dyDescent="0.35">
      <c r="A600" s="217"/>
      <c r="B600" s="257"/>
      <c r="C600" s="257"/>
      <c r="D600" s="257"/>
      <c r="E600" s="337"/>
      <c r="F600" s="33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</row>
    <row r="601" spans="1:23" ht="14.5" x14ac:dyDescent="0.35">
      <c r="A601" s="217"/>
      <c r="B601" s="257"/>
      <c r="C601" s="257"/>
      <c r="D601" s="257"/>
      <c r="E601" s="337"/>
      <c r="F601" s="33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</row>
    <row r="602" spans="1:23" ht="14.5" x14ac:dyDescent="0.35">
      <c r="A602" s="217"/>
      <c r="B602" s="257"/>
      <c r="C602" s="257"/>
      <c r="D602" s="257"/>
      <c r="E602" s="337"/>
      <c r="F602" s="33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</row>
    <row r="603" spans="1:23" ht="14.5" x14ac:dyDescent="0.35">
      <c r="A603" s="217"/>
      <c r="B603" s="257"/>
      <c r="C603" s="257"/>
      <c r="D603" s="257"/>
      <c r="E603" s="337"/>
      <c r="F603" s="33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</row>
    <row r="604" spans="1:23" ht="14.5" x14ac:dyDescent="0.35">
      <c r="A604" s="217"/>
      <c r="B604" s="257"/>
      <c r="C604" s="257"/>
      <c r="D604" s="257"/>
      <c r="E604" s="337"/>
      <c r="F604" s="33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</row>
    <row r="605" spans="1:23" ht="14.5" x14ac:dyDescent="0.35">
      <c r="A605" s="217"/>
      <c r="B605" s="257"/>
      <c r="C605" s="257"/>
      <c r="D605" s="257"/>
      <c r="E605" s="337"/>
      <c r="F605" s="33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</row>
    <row r="606" spans="1:23" ht="14.5" x14ac:dyDescent="0.35">
      <c r="A606" s="217"/>
      <c r="B606" s="257"/>
      <c r="C606" s="257"/>
      <c r="D606" s="257"/>
      <c r="E606" s="337"/>
      <c r="F606" s="33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</row>
    <row r="607" spans="1:23" ht="14.5" x14ac:dyDescent="0.35">
      <c r="A607" s="217"/>
      <c r="B607" s="257"/>
      <c r="C607" s="257"/>
      <c r="D607" s="257"/>
      <c r="E607" s="337"/>
      <c r="F607" s="33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</row>
    <row r="608" spans="1:23" ht="14.5" x14ac:dyDescent="0.35">
      <c r="A608" s="217"/>
      <c r="B608" s="257"/>
      <c r="C608" s="257"/>
      <c r="D608" s="257"/>
      <c r="E608" s="337"/>
      <c r="F608" s="33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</row>
    <row r="609" spans="1:23" ht="14.5" x14ac:dyDescent="0.35">
      <c r="A609" s="217"/>
      <c r="B609" s="257"/>
      <c r="C609" s="257"/>
      <c r="D609" s="257"/>
      <c r="E609" s="337"/>
      <c r="F609" s="33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</row>
    <row r="610" spans="1:23" ht="14.5" x14ac:dyDescent="0.35">
      <c r="A610" s="217"/>
      <c r="B610" s="257"/>
      <c r="C610" s="257"/>
      <c r="D610" s="257"/>
      <c r="E610" s="337"/>
      <c r="F610" s="33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</row>
    <row r="611" spans="1:23" ht="14.5" x14ac:dyDescent="0.35">
      <c r="A611" s="217"/>
      <c r="B611" s="257"/>
      <c r="C611" s="257"/>
      <c r="D611" s="257"/>
      <c r="E611" s="337"/>
      <c r="F611" s="33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</row>
    <row r="612" spans="1:23" ht="14.5" x14ac:dyDescent="0.35">
      <c r="A612" s="217"/>
      <c r="B612" s="257"/>
      <c r="C612" s="257"/>
      <c r="D612" s="257"/>
      <c r="E612" s="337"/>
      <c r="F612" s="33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</row>
    <row r="613" spans="1:23" ht="14.5" x14ac:dyDescent="0.35">
      <c r="A613" s="217"/>
      <c r="B613" s="257"/>
      <c r="C613" s="257"/>
      <c r="D613" s="257"/>
      <c r="E613" s="337"/>
      <c r="F613" s="33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</row>
    <row r="614" spans="1:23" ht="14.5" x14ac:dyDescent="0.35">
      <c r="A614" s="217"/>
      <c r="B614" s="257"/>
      <c r="C614" s="257"/>
      <c r="D614" s="257"/>
      <c r="E614" s="337"/>
      <c r="F614" s="33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</row>
    <row r="615" spans="1:23" ht="14.5" x14ac:dyDescent="0.35">
      <c r="A615" s="217"/>
      <c r="B615" s="257"/>
      <c r="C615" s="257"/>
      <c r="D615" s="257"/>
      <c r="E615" s="337"/>
      <c r="F615" s="33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</row>
    <row r="616" spans="1:23" ht="14.5" x14ac:dyDescent="0.35">
      <c r="A616" s="217"/>
      <c r="B616" s="257"/>
      <c r="C616" s="257"/>
      <c r="D616" s="257"/>
      <c r="E616" s="337"/>
      <c r="F616" s="33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</row>
    <row r="617" spans="1:23" ht="14.5" x14ac:dyDescent="0.35">
      <c r="A617" s="217"/>
      <c r="B617" s="257"/>
      <c r="C617" s="257"/>
      <c r="D617" s="257"/>
      <c r="E617" s="337"/>
      <c r="F617" s="33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</row>
    <row r="618" spans="1:23" ht="14.5" x14ac:dyDescent="0.35">
      <c r="A618" s="217"/>
      <c r="B618" s="257"/>
      <c r="C618" s="257"/>
      <c r="D618" s="257"/>
      <c r="E618" s="337"/>
      <c r="F618" s="33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</row>
    <row r="619" spans="1:23" ht="14.5" x14ac:dyDescent="0.35">
      <c r="A619" s="217"/>
      <c r="B619" s="257"/>
      <c r="C619" s="257"/>
      <c r="D619" s="257"/>
      <c r="E619" s="337"/>
      <c r="F619" s="33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</row>
    <row r="620" spans="1:23" ht="14.5" x14ac:dyDescent="0.35">
      <c r="A620" s="217"/>
      <c r="B620" s="257"/>
      <c r="C620" s="257"/>
      <c r="D620" s="257"/>
      <c r="E620" s="337"/>
      <c r="F620" s="33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</row>
    <row r="621" spans="1:23" ht="14.5" x14ac:dyDescent="0.35">
      <c r="A621" s="217"/>
      <c r="B621" s="257"/>
      <c r="C621" s="257"/>
      <c r="D621" s="257"/>
      <c r="E621" s="337"/>
      <c r="F621" s="33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</row>
    <row r="622" spans="1:23" ht="14.5" x14ac:dyDescent="0.35">
      <c r="A622" s="217"/>
      <c r="B622" s="257"/>
      <c r="C622" s="257"/>
      <c r="D622" s="257"/>
      <c r="E622" s="337"/>
      <c r="F622" s="33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</row>
    <row r="623" spans="1:23" ht="14.5" x14ac:dyDescent="0.35">
      <c r="A623" s="217"/>
      <c r="B623" s="257"/>
      <c r="C623" s="257"/>
      <c r="D623" s="257"/>
      <c r="E623" s="337"/>
      <c r="F623" s="33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</row>
    <row r="624" spans="1:23" ht="14.5" x14ac:dyDescent="0.35">
      <c r="A624" s="217"/>
      <c r="B624" s="257"/>
      <c r="C624" s="257"/>
      <c r="D624" s="257"/>
      <c r="E624" s="337"/>
      <c r="F624" s="33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</row>
    <row r="625" spans="1:23" ht="14.5" x14ac:dyDescent="0.35">
      <c r="A625" s="217"/>
      <c r="B625" s="257"/>
      <c r="C625" s="257"/>
      <c r="D625" s="257"/>
      <c r="E625" s="337"/>
      <c r="F625" s="33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</row>
    <row r="626" spans="1:23" ht="14.5" x14ac:dyDescent="0.35">
      <c r="A626" s="217"/>
      <c r="B626" s="257"/>
      <c r="C626" s="257"/>
      <c r="D626" s="257"/>
      <c r="E626" s="337"/>
      <c r="F626" s="33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</row>
    <row r="627" spans="1:23" ht="14.5" x14ac:dyDescent="0.35">
      <c r="A627" s="217"/>
      <c r="B627" s="257"/>
      <c r="C627" s="257"/>
      <c r="D627" s="257"/>
      <c r="E627" s="337"/>
      <c r="F627" s="33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</row>
    <row r="628" spans="1:23" ht="14.5" x14ac:dyDescent="0.35">
      <c r="A628" s="217"/>
      <c r="B628" s="257"/>
      <c r="C628" s="257"/>
      <c r="D628" s="257"/>
      <c r="E628" s="337"/>
      <c r="F628" s="33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</row>
    <row r="629" spans="1:23" ht="14.5" x14ac:dyDescent="0.35">
      <c r="A629" s="217"/>
      <c r="B629" s="257"/>
      <c r="C629" s="257"/>
      <c r="D629" s="257"/>
      <c r="E629" s="337"/>
      <c r="F629" s="33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</row>
    <row r="630" spans="1:23" ht="14.5" x14ac:dyDescent="0.35">
      <c r="A630" s="217"/>
      <c r="B630" s="257"/>
      <c r="C630" s="257"/>
      <c r="D630" s="257"/>
      <c r="E630" s="337"/>
      <c r="F630" s="33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</row>
    <row r="631" spans="1:23" ht="14.5" x14ac:dyDescent="0.35">
      <c r="A631" s="217"/>
      <c r="B631" s="257"/>
      <c r="C631" s="257"/>
      <c r="D631" s="257"/>
      <c r="E631" s="337"/>
      <c r="F631" s="33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</row>
    <row r="632" spans="1:23" ht="14.5" x14ac:dyDescent="0.35">
      <c r="A632" s="217"/>
      <c r="B632" s="257"/>
      <c r="C632" s="257"/>
      <c r="D632" s="257"/>
      <c r="E632" s="337"/>
      <c r="F632" s="33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</row>
    <row r="633" spans="1:23" ht="14.5" x14ac:dyDescent="0.35">
      <c r="A633" s="217"/>
      <c r="B633" s="257"/>
      <c r="C633" s="257"/>
      <c r="D633" s="257"/>
      <c r="E633" s="337"/>
      <c r="F633" s="33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</row>
    <row r="634" spans="1:23" ht="14.5" x14ac:dyDescent="0.35">
      <c r="A634" s="217"/>
      <c r="B634" s="257"/>
      <c r="C634" s="257"/>
      <c r="D634" s="257"/>
      <c r="E634" s="337"/>
      <c r="F634" s="33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</row>
    <row r="635" spans="1:23" ht="14.5" x14ac:dyDescent="0.35">
      <c r="A635" s="217"/>
      <c r="B635" s="257"/>
      <c r="C635" s="257"/>
      <c r="D635" s="257"/>
      <c r="E635" s="337"/>
      <c r="F635" s="33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</row>
    <row r="636" spans="1:23" ht="14.5" x14ac:dyDescent="0.35">
      <c r="A636" s="217"/>
      <c r="B636" s="257"/>
      <c r="C636" s="257"/>
      <c r="D636" s="257"/>
      <c r="E636" s="337"/>
      <c r="F636" s="33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</row>
    <row r="637" spans="1:23" ht="14.5" x14ac:dyDescent="0.35">
      <c r="A637" s="217"/>
      <c r="B637" s="257"/>
      <c r="C637" s="257"/>
      <c r="D637" s="257"/>
      <c r="E637" s="337"/>
      <c r="F637" s="33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</row>
    <row r="638" spans="1:23" ht="14.5" x14ac:dyDescent="0.35">
      <c r="A638" s="217"/>
      <c r="B638" s="257"/>
      <c r="C638" s="257"/>
      <c r="D638" s="257"/>
      <c r="E638" s="337"/>
      <c r="F638" s="33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</row>
    <row r="639" spans="1:23" ht="14.5" x14ac:dyDescent="0.35">
      <c r="A639" s="217"/>
      <c r="B639" s="257"/>
      <c r="C639" s="257"/>
      <c r="D639" s="257"/>
      <c r="E639" s="337"/>
      <c r="F639" s="33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</row>
    <row r="640" spans="1:23" ht="14.5" x14ac:dyDescent="0.35">
      <c r="A640" s="217"/>
      <c r="B640" s="257"/>
      <c r="C640" s="257"/>
      <c r="D640" s="257"/>
      <c r="E640" s="337"/>
      <c r="F640" s="33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</row>
    <row r="641" spans="1:23" ht="14.5" x14ac:dyDescent="0.35">
      <c r="A641" s="217"/>
      <c r="B641" s="257"/>
      <c r="C641" s="257"/>
      <c r="D641" s="257"/>
      <c r="E641" s="337"/>
      <c r="F641" s="33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</row>
    <row r="642" spans="1:23" ht="14.5" x14ac:dyDescent="0.35">
      <c r="A642" s="217"/>
      <c r="B642" s="257"/>
      <c r="C642" s="257"/>
      <c r="D642" s="257"/>
      <c r="E642" s="337"/>
      <c r="F642" s="33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</row>
    <row r="643" spans="1:23" ht="14.5" x14ac:dyDescent="0.35">
      <c r="A643" s="217"/>
      <c r="B643" s="257"/>
      <c r="C643" s="257"/>
      <c r="D643" s="257"/>
      <c r="E643" s="337"/>
      <c r="F643" s="33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</row>
    <row r="644" spans="1:23" ht="14.5" x14ac:dyDescent="0.35">
      <c r="A644" s="217"/>
      <c r="B644" s="257"/>
      <c r="C644" s="257"/>
      <c r="D644" s="257"/>
      <c r="E644" s="337"/>
      <c r="F644" s="33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</row>
    <row r="645" spans="1:23" ht="14.5" x14ac:dyDescent="0.35">
      <c r="A645" s="217"/>
      <c r="B645" s="257"/>
      <c r="C645" s="257"/>
      <c r="D645" s="257"/>
      <c r="E645" s="337"/>
      <c r="F645" s="33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</row>
    <row r="646" spans="1:23" ht="14.5" x14ac:dyDescent="0.35">
      <c r="A646" s="217"/>
      <c r="B646" s="257"/>
      <c r="C646" s="257"/>
      <c r="D646" s="257"/>
      <c r="E646" s="337"/>
      <c r="F646" s="33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</row>
    <row r="647" spans="1:23" ht="14.5" x14ac:dyDescent="0.35">
      <c r="A647" s="217"/>
      <c r="B647" s="257"/>
      <c r="C647" s="257"/>
      <c r="D647" s="257"/>
      <c r="E647" s="337"/>
      <c r="F647" s="33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</row>
    <row r="648" spans="1:23" ht="14.5" x14ac:dyDescent="0.35">
      <c r="A648" s="217"/>
      <c r="B648" s="257"/>
      <c r="C648" s="257"/>
      <c r="D648" s="257"/>
      <c r="E648" s="337"/>
      <c r="F648" s="33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</row>
    <row r="649" spans="1:23" ht="14.5" x14ac:dyDescent="0.35">
      <c r="A649" s="217"/>
      <c r="B649" s="257"/>
      <c r="C649" s="257"/>
      <c r="D649" s="257"/>
      <c r="E649" s="337"/>
      <c r="F649" s="33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</row>
    <row r="650" spans="1:23" ht="14.5" x14ac:dyDescent="0.35">
      <c r="A650" s="217"/>
      <c r="B650" s="257"/>
      <c r="C650" s="257"/>
      <c r="D650" s="257"/>
      <c r="E650" s="337"/>
      <c r="F650" s="33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</row>
    <row r="651" spans="1:23" ht="14.5" x14ac:dyDescent="0.35">
      <c r="A651" s="217"/>
      <c r="B651" s="257"/>
      <c r="C651" s="257"/>
      <c r="D651" s="257"/>
      <c r="E651" s="337"/>
      <c r="F651" s="33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</row>
    <row r="652" spans="1:23" ht="14.5" x14ac:dyDescent="0.35">
      <c r="A652" s="217"/>
      <c r="B652" s="257"/>
      <c r="C652" s="257"/>
      <c r="D652" s="257"/>
      <c r="E652" s="337"/>
      <c r="F652" s="33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</row>
    <row r="653" spans="1:23" ht="14.5" x14ac:dyDescent="0.35">
      <c r="A653" s="217"/>
      <c r="B653" s="257"/>
      <c r="C653" s="257"/>
      <c r="D653" s="257"/>
      <c r="E653" s="337"/>
      <c r="F653" s="33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</row>
    <row r="654" spans="1:23" ht="14.5" x14ac:dyDescent="0.35">
      <c r="A654" s="217"/>
      <c r="B654" s="257"/>
      <c r="C654" s="257"/>
      <c r="D654" s="257"/>
      <c r="E654" s="337"/>
      <c r="F654" s="33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</row>
    <row r="655" spans="1:23" ht="14.5" x14ac:dyDescent="0.35">
      <c r="A655" s="217"/>
      <c r="B655" s="257"/>
      <c r="C655" s="257"/>
      <c r="D655" s="257"/>
      <c r="E655" s="337"/>
      <c r="F655" s="33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</row>
    <row r="656" spans="1:23" ht="14.5" x14ac:dyDescent="0.35">
      <c r="A656" s="217"/>
      <c r="B656" s="257"/>
      <c r="C656" s="257"/>
      <c r="D656" s="257"/>
      <c r="E656" s="337"/>
      <c r="F656" s="33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</row>
    <row r="657" spans="1:23" ht="14.5" x14ac:dyDescent="0.35">
      <c r="A657" s="217"/>
      <c r="B657" s="257"/>
      <c r="C657" s="257"/>
      <c r="D657" s="257"/>
      <c r="E657" s="337"/>
      <c r="F657" s="33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</row>
    <row r="658" spans="1:23" ht="14.5" x14ac:dyDescent="0.35">
      <c r="A658" s="217"/>
      <c r="B658" s="257"/>
      <c r="C658" s="257"/>
      <c r="D658" s="257"/>
      <c r="E658" s="337"/>
      <c r="F658" s="33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</row>
    <row r="659" spans="1:23" ht="14.5" x14ac:dyDescent="0.35">
      <c r="A659" s="217"/>
      <c r="B659" s="257"/>
      <c r="C659" s="257"/>
      <c r="D659" s="257"/>
      <c r="E659" s="337"/>
      <c r="F659" s="33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</row>
    <row r="660" spans="1:23" ht="14.5" x14ac:dyDescent="0.35">
      <c r="A660" s="217"/>
      <c r="B660" s="257"/>
      <c r="C660" s="257"/>
      <c r="D660" s="257"/>
      <c r="E660" s="337"/>
      <c r="F660" s="33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</row>
    <row r="661" spans="1:23" ht="14.5" x14ac:dyDescent="0.35">
      <c r="A661" s="217"/>
      <c r="B661" s="257"/>
      <c r="C661" s="257"/>
      <c r="D661" s="257"/>
      <c r="E661" s="337"/>
      <c r="F661" s="33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</row>
    <row r="662" spans="1:23" ht="14.5" x14ac:dyDescent="0.35">
      <c r="A662" s="217"/>
      <c r="B662" s="257"/>
      <c r="C662" s="257"/>
      <c r="D662" s="257"/>
      <c r="E662" s="337"/>
      <c r="F662" s="33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</row>
    <row r="663" spans="1:23" ht="14.5" x14ac:dyDescent="0.35">
      <c r="A663" s="217"/>
      <c r="B663" s="257"/>
      <c r="C663" s="257"/>
      <c r="D663" s="257"/>
      <c r="E663" s="337"/>
      <c r="F663" s="33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</row>
    <row r="664" spans="1:23" ht="14.5" x14ac:dyDescent="0.35">
      <c r="A664" s="217"/>
      <c r="B664" s="257"/>
      <c r="C664" s="257"/>
      <c r="D664" s="257"/>
      <c r="E664" s="337"/>
      <c r="F664" s="33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</row>
    <row r="665" spans="1:23" ht="14.5" x14ac:dyDescent="0.35">
      <c r="A665" s="217"/>
      <c r="B665" s="257"/>
      <c r="C665" s="257"/>
      <c r="D665" s="257"/>
      <c r="E665" s="337"/>
      <c r="F665" s="33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</row>
    <row r="666" spans="1:23" ht="14.5" x14ac:dyDescent="0.35">
      <c r="A666" s="217"/>
      <c r="B666" s="257"/>
      <c r="C666" s="257"/>
      <c r="D666" s="257"/>
      <c r="E666" s="337"/>
      <c r="F666" s="33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</row>
    <row r="667" spans="1:23" ht="14.5" x14ac:dyDescent="0.35">
      <c r="A667" s="217"/>
      <c r="B667" s="257"/>
      <c r="C667" s="257"/>
      <c r="D667" s="257"/>
      <c r="E667" s="337"/>
      <c r="F667" s="33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</row>
    <row r="668" spans="1:23" ht="14.5" x14ac:dyDescent="0.35">
      <c r="A668" s="217"/>
      <c r="B668" s="257"/>
      <c r="C668" s="257"/>
      <c r="D668" s="257"/>
      <c r="E668" s="337"/>
      <c r="F668" s="33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</row>
    <row r="669" spans="1:23" ht="14.5" x14ac:dyDescent="0.35">
      <c r="A669" s="217"/>
      <c r="B669" s="257"/>
      <c r="C669" s="257"/>
      <c r="D669" s="257"/>
      <c r="E669" s="337"/>
      <c r="F669" s="33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</row>
    <row r="670" spans="1:23" ht="14.5" x14ac:dyDescent="0.35">
      <c r="A670" s="217"/>
      <c r="B670" s="257"/>
      <c r="C670" s="257"/>
      <c r="D670" s="257"/>
      <c r="E670" s="337"/>
      <c r="F670" s="33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</row>
    <row r="671" spans="1:23" ht="14.5" x14ac:dyDescent="0.35">
      <c r="A671" s="217"/>
      <c r="B671" s="257"/>
      <c r="C671" s="257"/>
      <c r="D671" s="257"/>
      <c r="E671" s="337"/>
      <c r="F671" s="33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</row>
    <row r="672" spans="1:23" ht="14.5" x14ac:dyDescent="0.35">
      <c r="A672" s="217"/>
      <c r="B672" s="257"/>
      <c r="C672" s="257"/>
      <c r="D672" s="257"/>
      <c r="E672" s="337"/>
      <c r="F672" s="33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</row>
    <row r="673" spans="1:23" ht="14.5" x14ac:dyDescent="0.35">
      <c r="A673" s="217"/>
      <c r="B673" s="257"/>
      <c r="C673" s="257"/>
      <c r="D673" s="257"/>
      <c r="E673" s="337"/>
      <c r="F673" s="33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</row>
    <row r="674" spans="1:23" ht="14.5" x14ac:dyDescent="0.35">
      <c r="A674" s="217"/>
      <c r="B674" s="257"/>
      <c r="C674" s="257"/>
      <c r="D674" s="257"/>
      <c r="E674" s="337"/>
      <c r="F674" s="33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</row>
    <row r="675" spans="1:23" ht="14.5" x14ac:dyDescent="0.35">
      <c r="A675" s="217"/>
      <c r="B675" s="257"/>
      <c r="C675" s="257"/>
      <c r="D675" s="257"/>
      <c r="E675" s="337"/>
      <c r="F675" s="33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</row>
    <row r="676" spans="1:23" ht="14.5" x14ac:dyDescent="0.35">
      <c r="A676" s="217"/>
      <c r="B676" s="257"/>
      <c r="C676" s="257"/>
      <c r="D676" s="257"/>
      <c r="E676" s="337"/>
      <c r="F676" s="33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</row>
    <row r="677" spans="1:23" ht="14.5" x14ac:dyDescent="0.35">
      <c r="A677" s="217"/>
      <c r="B677" s="257"/>
      <c r="C677" s="257"/>
      <c r="D677" s="257"/>
      <c r="E677" s="337"/>
      <c r="F677" s="33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</row>
    <row r="678" spans="1:23" ht="14.5" x14ac:dyDescent="0.35">
      <c r="A678" s="217"/>
      <c r="B678" s="257"/>
      <c r="C678" s="257"/>
      <c r="D678" s="257"/>
      <c r="E678" s="337"/>
      <c r="F678" s="33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</row>
    <row r="679" spans="1:23" ht="14.5" x14ac:dyDescent="0.35">
      <c r="A679" s="217"/>
      <c r="B679" s="257"/>
      <c r="C679" s="257"/>
      <c r="D679" s="257"/>
      <c r="E679" s="337"/>
      <c r="F679" s="33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</row>
    <row r="680" spans="1:23" ht="14.5" x14ac:dyDescent="0.35">
      <c r="A680" s="217"/>
      <c r="B680" s="257"/>
      <c r="C680" s="257"/>
      <c r="D680" s="257"/>
      <c r="E680" s="337"/>
      <c r="F680" s="33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</row>
    <row r="681" spans="1:23" ht="14.5" x14ac:dyDescent="0.35">
      <c r="A681" s="217"/>
      <c r="B681" s="257"/>
      <c r="C681" s="257"/>
      <c r="D681" s="257"/>
      <c r="E681" s="337"/>
      <c r="F681" s="33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</row>
    <row r="682" spans="1:23" ht="14.5" x14ac:dyDescent="0.35">
      <c r="A682" s="217"/>
      <c r="B682" s="257"/>
      <c r="C682" s="257"/>
      <c r="D682" s="257"/>
      <c r="E682" s="337"/>
      <c r="F682" s="33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</row>
    <row r="683" spans="1:23" ht="14.5" x14ac:dyDescent="0.35">
      <c r="A683" s="217"/>
      <c r="B683" s="257"/>
      <c r="C683" s="257"/>
      <c r="D683" s="257"/>
      <c r="E683" s="337"/>
      <c r="F683" s="33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</row>
    <row r="684" spans="1:23" ht="14.5" x14ac:dyDescent="0.35">
      <c r="A684" s="217"/>
      <c r="B684" s="257"/>
      <c r="C684" s="257"/>
      <c r="D684" s="257"/>
      <c r="E684" s="337"/>
      <c r="F684" s="33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</row>
    <row r="685" spans="1:23" ht="14.5" x14ac:dyDescent="0.35">
      <c r="A685" s="217"/>
      <c r="B685" s="257"/>
      <c r="C685" s="257"/>
      <c r="D685" s="257"/>
      <c r="E685" s="337"/>
      <c r="F685" s="33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</row>
    <row r="686" spans="1:23" ht="14.5" x14ac:dyDescent="0.35">
      <c r="A686" s="217"/>
      <c r="B686" s="257"/>
      <c r="C686" s="257"/>
      <c r="D686" s="257"/>
      <c r="E686" s="337"/>
      <c r="F686" s="33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</row>
    <row r="687" spans="1:23" ht="14.5" x14ac:dyDescent="0.35">
      <c r="A687" s="217"/>
      <c r="B687" s="257"/>
      <c r="C687" s="257"/>
      <c r="D687" s="257"/>
      <c r="E687" s="337"/>
      <c r="F687" s="33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</row>
    <row r="688" spans="1:23" ht="14.5" x14ac:dyDescent="0.35">
      <c r="A688" s="217"/>
      <c r="B688" s="257"/>
      <c r="C688" s="257"/>
      <c r="D688" s="257"/>
      <c r="E688" s="337"/>
      <c r="F688" s="33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</row>
    <row r="689" spans="1:23" ht="14.5" x14ac:dyDescent="0.35">
      <c r="A689" s="217"/>
      <c r="B689" s="257"/>
      <c r="C689" s="257"/>
      <c r="D689" s="257"/>
      <c r="E689" s="337"/>
      <c r="F689" s="33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</row>
    <row r="690" spans="1:23" ht="14.5" x14ac:dyDescent="0.35">
      <c r="A690" s="217"/>
      <c r="B690" s="257"/>
      <c r="C690" s="257"/>
      <c r="D690" s="257"/>
      <c r="E690" s="337"/>
      <c r="F690" s="33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</row>
    <row r="691" spans="1:23" ht="14.5" x14ac:dyDescent="0.35">
      <c r="A691" s="217"/>
      <c r="B691" s="257"/>
      <c r="C691" s="257"/>
      <c r="D691" s="257"/>
      <c r="E691" s="337"/>
      <c r="F691" s="33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</row>
    <row r="692" spans="1:23" ht="14.5" x14ac:dyDescent="0.35">
      <c r="A692" s="217"/>
      <c r="B692" s="257"/>
      <c r="C692" s="257"/>
      <c r="D692" s="257"/>
      <c r="E692" s="337"/>
      <c r="F692" s="33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</row>
    <row r="693" spans="1:23" ht="14.5" x14ac:dyDescent="0.35">
      <c r="A693" s="217"/>
      <c r="B693" s="257"/>
      <c r="C693" s="257"/>
      <c r="D693" s="257"/>
      <c r="E693" s="337"/>
      <c r="F693" s="33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</row>
    <row r="694" spans="1:23" ht="14.5" x14ac:dyDescent="0.35">
      <c r="A694" s="217"/>
      <c r="B694" s="257"/>
      <c r="C694" s="257"/>
      <c r="D694" s="257"/>
      <c r="E694" s="337"/>
      <c r="F694" s="33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</row>
    <row r="695" spans="1:23" ht="14.5" x14ac:dyDescent="0.35">
      <c r="A695" s="217"/>
      <c r="B695" s="257"/>
      <c r="C695" s="257"/>
      <c r="D695" s="257"/>
      <c r="E695" s="337"/>
      <c r="F695" s="33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</row>
    <row r="696" spans="1:23" ht="14.5" x14ac:dyDescent="0.35">
      <c r="A696" s="217"/>
      <c r="B696" s="257"/>
      <c r="C696" s="257"/>
      <c r="D696" s="257"/>
      <c r="E696" s="337"/>
      <c r="F696" s="33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</row>
    <row r="697" spans="1:23" ht="14.5" x14ac:dyDescent="0.35">
      <c r="A697" s="217"/>
      <c r="B697" s="257"/>
      <c r="C697" s="257"/>
      <c r="D697" s="257"/>
      <c r="E697" s="337"/>
      <c r="F697" s="33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</row>
    <row r="698" spans="1:23" ht="14.5" x14ac:dyDescent="0.35">
      <c r="A698" s="217"/>
      <c r="B698" s="257"/>
      <c r="C698" s="257"/>
      <c r="D698" s="257"/>
      <c r="E698" s="337"/>
      <c r="F698" s="33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</row>
    <row r="699" spans="1:23" ht="14.5" x14ac:dyDescent="0.35">
      <c r="A699" s="217"/>
      <c r="B699" s="257"/>
      <c r="C699" s="257"/>
      <c r="D699" s="257"/>
      <c r="E699" s="337"/>
      <c r="F699" s="33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</row>
    <row r="700" spans="1:23" ht="14.5" x14ac:dyDescent="0.35">
      <c r="A700" s="217"/>
      <c r="B700" s="257"/>
      <c r="C700" s="257"/>
      <c r="D700" s="257"/>
      <c r="E700" s="337"/>
      <c r="F700" s="33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</row>
    <row r="701" spans="1:23" ht="14.5" x14ac:dyDescent="0.35">
      <c r="A701" s="217"/>
      <c r="B701" s="257"/>
      <c r="C701" s="257"/>
      <c r="D701" s="257"/>
      <c r="E701" s="337"/>
      <c r="F701" s="33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</row>
    <row r="702" spans="1:23" ht="14.5" x14ac:dyDescent="0.35">
      <c r="A702" s="217"/>
      <c r="B702" s="257"/>
      <c r="C702" s="257"/>
      <c r="D702" s="257"/>
      <c r="E702" s="337"/>
      <c r="F702" s="33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</row>
    <row r="703" spans="1:23" ht="14.5" x14ac:dyDescent="0.35">
      <c r="A703" s="217"/>
      <c r="B703" s="257"/>
      <c r="C703" s="257"/>
      <c r="D703" s="257"/>
      <c r="E703" s="337"/>
      <c r="F703" s="33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</row>
    <row r="704" spans="1:23" ht="14.5" x14ac:dyDescent="0.35">
      <c r="A704" s="217"/>
      <c r="B704" s="257"/>
      <c r="C704" s="257"/>
      <c r="D704" s="257"/>
      <c r="E704" s="337"/>
      <c r="F704" s="33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</row>
    <row r="705" spans="1:23" ht="14.5" x14ac:dyDescent="0.35">
      <c r="A705" s="217"/>
      <c r="B705" s="257"/>
      <c r="C705" s="257"/>
      <c r="D705" s="257"/>
      <c r="E705" s="337"/>
      <c r="F705" s="33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</row>
    <row r="706" spans="1:23" ht="14.5" x14ac:dyDescent="0.35">
      <c r="A706" s="217"/>
      <c r="B706" s="257"/>
      <c r="C706" s="257"/>
      <c r="D706" s="257"/>
      <c r="E706" s="337"/>
      <c r="F706" s="33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</row>
    <row r="707" spans="1:23" ht="14.5" x14ac:dyDescent="0.35">
      <c r="A707" s="217"/>
      <c r="B707" s="257"/>
      <c r="C707" s="257"/>
      <c r="D707" s="257"/>
      <c r="E707" s="337"/>
      <c r="F707" s="33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</row>
    <row r="708" spans="1:23" ht="14.5" x14ac:dyDescent="0.35">
      <c r="A708" s="217"/>
      <c r="B708" s="257"/>
      <c r="C708" s="257"/>
      <c r="D708" s="257"/>
      <c r="E708" s="337"/>
      <c r="F708" s="33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</row>
    <row r="709" spans="1:23" ht="14.5" x14ac:dyDescent="0.35">
      <c r="A709" s="217"/>
      <c r="B709" s="257"/>
      <c r="C709" s="257"/>
      <c r="D709" s="257"/>
      <c r="E709" s="337"/>
      <c r="F709" s="33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</row>
    <row r="710" spans="1:23" ht="14.5" x14ac:dyDescent="0.35">
      <c r="A710" s="217"/>
      <c r="B710" s="257"/>
      <c r="C710" s="257"/>
      <c r="D710" s="257"/>
      <c r="E710" s="337"/>
      <c r="F710" s="33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</row>
    <row r="711" spans="1:23" ht="14.5" x14ac:dyDescent="0.35">
      <c r="A711" s="217"/>
      <c r="B711" s="257"/>
      <c r="C711" s="257"/>
      <c r="D711" s="257"/>
      <c r="E711" s="337"/>
      <c r="F711" s="33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</row>
    <row r="712" spans="1:23" ht="14.5" x14ac:dyDescent="0.35">
      <c r="A712" s="217"/>
      <c r="B712" s="257"/>
      <c r="C712" s="257"/>
      <c r="D712" s="257"/>
      <c r="E712" s="337"/>
      <c r="F712" s="33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</row>
    <row r="713" spans="1:23" ht="14.5" x14ac:dyDescent="0.35">
      <c r="A713" s="217"/>
      <c r="B713" s="257"/>
      <c r="C713" s="257"/>
      <c r="D713" s="257"/>
      <c r="E713" s="337"/>
      <c r="F713" s="33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</row>
    <row r="714" spans="1:23" ht="14.5" x14ac:dyDescent="0.35">
      <c r="A714" s="217"/>
      <c r="B714" s="257"/>
      <c r="C714" s="257"/>
      <c r="D714" s="257"/>
      <c r="E714" s="337"/>
      <c r="F714" s="33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</row>
    <row r="715" spans="1:23" ht="14.5" x14ac:dyDescent="0.35">
      <c r="A715" s="217"/>
      <c r="B715" s="257"/>
      <c r="C715" s="257"/>
      <c r="D715" s="257"/>
      <c r="E715" s="337"/>
      <c r="F715" s="33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</row>
    <row r="716" spans="1:23" ht="14.5" x14ac:dyDescent="0.35">
      <c r="A716" s="217"/>
      <c r="B716" s="257"/>
      <c r="C716" s="257"/>
      <c r="D716" s="257"/>
      <c r="E716" s="337"/>
      <c r="F716" s="33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</row>
    <row r="717" spans="1:23" ht="14.5" x14ac:dyDescent="0.35">
      <c r="A717" s="217"/>
      <c r="B717" s="257"/>
      <c r="C717" s="257"/>
      <c r="D717" s="257"/>
      <c r="E717" s="337"/>
      <c r="F717" s="33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</row>
    <row r="718" spans="1:23" ht="14.5" x14ac:dyDescent="0.35">
      <c r="A718" s="217"/>
      <c r="B718" s="257"/>
      <c r="C718" s="257"/>
      <c r="D718" s="257"/>
      <c r="E718" s="337"/>
      <c r="F718" s="33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</row>
    <row r="719" spans="1:23" ht="14.5" x14ac:dyDescent="0.35">
      <c r="A719" s="217"/>
      <c r="B719" s="257"/>
      <c r="C719" s="257"/>
      <c r="D719" s="257"/>
      <c r="E719" s="337"/>
      <c r="F719" s="33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</row>
    <row r="720" spans="1:23" ht="14.5" x14ac:dyDescent="0.35">
      <c r="A720" s="217"/>
      <c r="B720" s="257"/>
      <c r="C720" s="257"/>
      <c r="D720" s="257"/>
      <c r="E720" s="337"/>
      <c r="F720" s="33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</row>
    <row r="721" spans="1:23" ht="14.5" x14ac:dyDescent="0.35">
      <c r="A721" s="217"/>
      <c r="B721" s="257"/>
      <c r="C721" s="257"/>
      <c r="D721" s="257"/>
      <c r="E721" s="337"/>
      <c r="F721" s="33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</row>
    <row r="722" spans="1:23" ht="14.5" x14ac:dyDescent="0.35">
      <c r="A722" s="217"/>
      <c r="B722" s="257"/>
      <c r="C722" s="257"/>
      <c r="D722" s="257"/>
      <c r="E722" s="337"/>
      <c r="F722" s="33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</row>
    <row r="723" spans="1:23" ht="14.5" x14ac:dyDescent="0.35">
      <c r="A723" s="217"/>
      <c r="B723" s="257"/>
      <c r="C723" s="257"/>
      <c r="D723" s="257"/>
      <c r="E723" s="337"/>
      <c r="F723" s="33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</row>
    <row r="724" spans="1:23" ht="14.5" x14ac:dyDescent="0.35">
      <c r="A724" s="217"/>
      <c r="B724" s="257"/>
      <c r="C724" s="257"/>
      <c r="D724" s="257"/>
      <c r="E724" s="337"/>
      <c r="F724" s="33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</row>
    <row r="725" spans="1:23" ht="14.5" x14ac:dyDescent="0.35">
      <c r="A725" s="217"/>
      <c r="B725" s="257"/>
      <c r="C725" s="257"/>
      <c r="D725" s="257"/>
      <c r="E725" s="337"/>
      <c r="F725" s="33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</row>
    <row r="726" spans="1:23" ht="14.5" x14ac:dyDescent="0.35">
      <c r="A726" s="217"/>
      <c r="B726" s="257"/>
      <c r="C726" s="257"/>
      <c r="D726" s="257"/>
      <c r="E726" s="337"/>
      <c r="F726" s="33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</row>
    <row r="727" spans="1:23" ht="14.5" x14ac:dyDescent="0.35">
      <c r="A727" s="217"/>
      <c r="B727" s="257"/>
      <c r="C727" s="257"/>
      <c r="D727" s="257"/>
      <c r="E727" s="337"/>
      <c r="F727" s="33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</row>
    <row r="728" spans="1:23" ht="14.5" x14ac:dyDescent="0.35">
      <c r="A728" s="217"/>
      <c r="B728" s="257"/>
      <c r="C728" s="257"/>
      <c r="D728" s="257"/>
      <c r="E728" s="337"/>
      <c r="F728" s="33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</row>
    <row r="729" spans="1:23" ht="14.5" x14ac:dyDescent="0.35">
      <c r="A729" s="217"/>
      <c r="B729" s="257"/>
      <c r="C729" s="257"/>
      <c r="D729" s="257"/>
      <c r="E729" s="337"/>
      <c r="F729" s="33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</row>
    <row r="730" spans="1:23" ht="14.5" x14ac:dyDescent="0.35">
      <c r="A730" s="217"/>
      <c r="B730" s="257"/>
      <c r="C730" s="257"/>
      <c r="D730" s="257"/>
      <c r="E730" s="337"/>
      <c r="F730" s="33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</row>
    <row r="731" spans="1:23" ht="14.5" x14ac:dyDescent="0.35">
      <c r="A731" s="217"/>
      <c r="B731" s="257"/>
      <c r="C731" s="257"/>
      <c r="D731" s="257"/>
      <c r="E731" s="337"/>
      <c r="F731" s="33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</row>
    <row r="732" spans="1:23" ht="14.5" x14ac:dyDescent="0.35">
      <c r="A732" s="217"/>
      <c r="B732" s="257"/>
      <c r="C732" s="257"/>
      <c r="D732" s="257"/>
      <c r="E732" s="337"/>
      <c r="F732" s="33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</row>
    <row r="733" spans="1:23" ht="14.5" x14ac:dyDescent="0.35">
      <c r="A733" s="217"/>
      <c r="B733" s="257"/>
      <c r="C733" s="257"/>
      <c r="D733" s="257"/>
      <c r="E733" s="337"/>
      <c r="F733" s="33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</row>
    <row r="734" spans="1:23" ht="14.5" x14ac:dyDescent="0.35">
      <c r="A734" s="217"/>
      <c r="B734" s="257"/>
      <c r="C734" s="257"/>
      <c r="D734" s="257"/>
      <c r="E734" s="337"/>
      <c r="F734" s="33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</row>
    <row r="735" spans="1:23" ht="14.5" x14ac:dyDescent="0.35">
      <c r="A735" s="217"/>
      <c r="B735" s="257"/>
      <c r="C735" s="257"/>
      <c r="D735" s="257"/>
      <c r="E735" s="337"/>
      <c r="F735" s="33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</row>
    <row r="736" spans="1:23" ht="14.5" x14ac:dyDescent="0.35">
      <c r="A736" s="217"/>
      <c r="B736" s="257"/>
      <c r="C736" s="257"/>
      <c r="D736" s="257"/>
      <c r="E736" s="337"/>
      <c r="F736" s="33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</row>
    <row r="737" spans="1:23" ht="14.5" x14ac:dyDescent="0.35">
      <c r="A737" s="217"/>
      <c r="B737" s="257"/>
      <c r="C737" s="257"/>
      <c r="D737" s="257"/>
      <c r="E737" s="337"/>
      <c r="F737" s="33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</row>
    <row r="738" spans="1:23" ht="14.5" x14ac:dyDescent="0.35">
      <c r="A738" s="217"/>
      <c r="B738" s="257"/>
      <c r="C738" s="257"/>
      <c r="D738" s="257"/>
      <c r="E738" s="337"/>
      <c r="F738" s="33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</row>
    <row r="739" spans="1:23" ht="14.5" x14ac:dyDescent="0.35">
      <c r="A739" s="217"/>
      <c r="B739" s="257"/>
      <c r="C739" s="257"/>
      <c r="D739" s="257"/>
      <c r="E739" s="337"/>
      <c r="F739" s="33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</row>
    <row r="740" spans="1:23" ht="14.5" x14ac:dyDescent="0.35">
      <c r="A740" s="217"/>
      <c r="B740" s="257"/>
      <c r="C740" s="257"/>
      <c r="D740" s="257"/>
      <c r="E740" s="337"/>
      <c r="F740" s="33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</row>
    <row r="741" spans="1:23" ht="14.5" x14ac:dyDescent="0.35">
      <c r="A741" s="217"/>
      <c r="B741" s="257"/>
      <c r="C741" s="257"/>
      <c r="D741" s="257"/>
      <c r="E741" s="337"/>
      <c r="F741" s="33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</row>
    <row r="742" spans="1:23" ht="14.5" x14ac:dyDescent="0.35">
      <c r="A742" s="217"/>
      <c r="B742" s="257"/>
      <c r="C742" s="257"/>
      <c r="D742" s="257"/>
      <c r="E742" s="337"/>
      <c r="F742" s="33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</row>
    <row r="743" spans="1:23" ht="14.5" x14ac:dyDescent="0.35">
      <c r="A743" s="217"/>
      <c r="B743" s="257"/>
      <c r="C743" s="257"/>
      <c r="D743" s="257"/>
      <c r="E743" s="337"/>
      <c r="F743" s="33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</row>
    <row r="744" spans="1:23" ht="14.5" x14ac:dyDescent="0.35">
      <c r="A744" s="217"/>
      <c r="B744" s="257"/>
      <c r="C744" s="257"/>
      <c r="D744" s="257"/>
      <c r="E744" s="337"/>
      <c r="F744" s="33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</row>
    <row r="745" spans="1:23" ht="14.5" x14ac:dyDescent="0.35">
      <c r="A745" s="217"/>
      <c r="B745" s="257"/>
      <c r="C745" s="257"/>
      <c r="D745" s="257"/>
      <c r="E745" s="337"/>
      <c r="F745" s="33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</row>
    <row r="746" spans="1:23" ht="14.5" x14ac:dyDescent="0.35">
      <c r="A746" s="217"/>
      <c r="B746" s="257"/>
      <c r="C746" s="257"/>
      <c r="D746" s="257"/>
      <c r="E746" s="337"/>
      <c r="F746" s="33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</row>
    <row r="747" spans="1:23" ht="14.5" x14ac:dyDescent="0.35">
      <c r="A747" s="217"/>
      <c r="B747" s="257"/>
      <c r="C747" s="257"/>
      <c r="D747" s="257"/>
      <c r="E747" s="337"/>
      <c r="F747" s="33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</row>
    <row r="748" spans="1:23" ht="14.5" x14ac:dyDescent="0.35">
      <c r="A748" s="217"/>
      <c r="B748" s="257"/>
      <c r="C748" s="257"/>
      <c r="D748" s="257"/>
      <c r="E748" s="337"/>
      <c r="F748" s="33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</row>
    <row r="749" spans="1:23" ht="14.5" x14ac:dyDescent="0.35">
      <c r="A749" s="217"/>
      <c r="B749" s="257"/>
      <c r="C749" s="257"/>
      <c r="D749" s="257"/>
      <c r="E749" s="337"/>
      <c r="F749" s="33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</row>
    <row r="750" spans="1:23" ht="14.5" x14ac:dyDescent="0.35">
      <c r="A750" s="217"/>
      <c r="B750" s="257"/>
      <c r="C750" s="257"/>
      <c r="D750" s="257"/>
      <c r="E750" s="337"/>
      <c r="F750" s="33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</row>
    <row r="751" spans="1:23" ht="14.5" x14ac:dyDescent="0.35">
      <c r="A751" s="217"/>
      <c r="B751" s="257"/>
      <c r="C751" s="257"/>
      <c r="D751" s="257"/>
      <c r="E751" s="337"/>
      <c r="F751" s="33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</row>
    <row r="752" spans="1:23" ht="14.5" x14ac:dyDescent="0.35">
      <c r="A752" s="217"/>
      <c r="B752" s="257"/>
      <c r="C752" s="257"/>
      <c r="D752" s="257"/>
      <c r="E752" s="337"/>
      <c r="F752" s="33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</row>
    <row r="753" spans="1:23" ht="14.5" x14ac:dyDescent="0.35">
      <c r="A753" s="217"/>
      <c r="B753" s="257"/>
      <c r="C753" s="257"/>
      <c r="D753" s="257"/>
      <c r="E753" s="337"/>
      <c r="F753" s="33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</row>
    <row r="754" spans="1:23" ht="14.5" x14ac:dyDescent="0.35">
      <c r="A754" s="217"/>
      <c r="B754" s="257"/>
      <c r="C754" s="257"/>
      <c r="D754" s="257"/>
      <c r="E754" s="337"/>
      <c r="F754" s="33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</row>
    <row r="755" spans="1:23" ht="14.5" x14ac:dyDescent="0.35">
      <c r="A755" s="217"/>
      <c r="B755" s="257"/>
      <c r="C755" s="257"/>
      <c r="D755" s="257"/>
      <c r="E755" s="337"/>
      <c r="F755" s="33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</row>
    <row r="756" spans="1:23" ht="14.5" x14ac:dyDescent="0.35">
      <c r="A756" s="217"/>
      <c r="B756" s="257"/>
      <c r="C756" s="257"/>
      <c r="D756" s="257"/>
      <c r="E756" s="337"/>
      <c r="F756" s="33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</row>
    <row r="757" spans="1:23" ht="14.5" x14ac:dyDescent="0.35">
      <c r="A757" s="217"/>
      <c r="B757" s="257"/>
      <c r="C757" s="257"/>
      <c r="D757" s="257"/>
      <c r="E757" s="337"/>
      <c r="F757" s="33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</row>
    <row r="758" spans="1:23" ht="14.5" x14ac:dyDescent="0.35">
      <c r="A758" s="217"/>
      <c r="B758" s="257"/>
      <c r="C758" s="257"/>
      <c r="D758" s="257"/>
      <c r="E758" s="337"/>
      <c r="F758" s="33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</row>
    <row r="759" spans="1:23" ht="14.5" x14ac:dyDescent="0.35">
      <c r="A759" s="217"/>
      <c r="B759" s="257"/>
      <c r="C759" s="257"/>
      <c r="D759" s="257"/>
      <c r="E759" s="337"/>
      <c r="F759" s="33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</row>
    <row r="760" spans="1:23" ht="14.5" x14ac:dyDescent="0.35">
      <c r="A760" s="217"/>
      <c r="B760" s="257"/>
      <c r="C760" s="257"/>
      <c r="D760" s="257"/>
      <c r="E760" s="337"/>
      <c r="F760" s="33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</row>
    <row r="761" spans="1:23" ht="14.5" x14ac:dyDescent="0.35">
      <c r="A761" s="217"/>
      <c r="B761" s="257"/>
      <c r="C761" s="257"/>
      <c r="D761" s="257"/>
      <c r="E761" s="337"/>
      <c r="F761" s="33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</row>
    <row r="762" spans="1:23" ht="14.5" x14ac:dyDescent="0.35">
      <c r="A762" s="217"/>
      <c r="B762" s="257"/>
      <c r="C762" s="257"/>
      <c r="D762" s="257"/>
      <c r="E762" s="337"/>
      <c r="F762" s="33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</row>
    <row r="763" spans="1:23" ht="14.5" x14ac:dyDescent="0.35">
      <c r="A763" s="217"/>
      <c r="B763" s="257"/>
      <c r="C763" s="257"/>
      <c r="D763" s="257"/>
      <c r="E763" s="337"/>
      <c r="F763" s="33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</row>
    <row r="764" spans="1:23" ht="14.5" x14ac:dyDescent="0.35">
      <c r="A764" s="217"/>
      <c r="B764" s="257"/>
      <c r="C764" s="257"/>
      <c r="D764" s="257"/>
      <c r="E764" s="337"/>
      <c r="F764" s="33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</row>
    <row r="765" spans="1:23" ht="14.5" x14ac:dyDescent="0.35">
      <c r="A765" s="217"/>
      <c r="B765" s="257"/>
      <c r="C765" s="257"/>
      <c r="D765" s="257"/>
      <c r="E765" s="337"/>
      <c r="F765" s="33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</row>
    <row r="766" spans="1:23" ht="14.5" x14ac:dyDescent="0.35">
      <c r="A766" s="217"/>
      <c r="B766" s="257"/>
      <c r="C766" s="257"/>
      <c r="D766" s="257"/>
      <c r="E766" s="337"/>
      <c r="F766" s="33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</row>
    <row r="767" spans="1:23" ht="14.5" x14ac:dyDescent="0.35">
      <c r="A767" s="217"/>
      <c r="B767" s="257"/>
      <c r="C767" s="257"/>
      <c r="D767" s="257"/>
      <c r="E767" s="337"/>
      <c r="F767" s="33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</row>
    <row r="768" spans="1:23" ht="14.5" x14ac:dyDescent="0.35">
      <c r="A768" s="217"/>
      <c r="B768" s="257"/>
      <c r="C768" s="257"/>
      <c r="D768" s="257"/>
      <c r="E768" s="337"/>
      <c r="F768" s="33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</row>
    <row r="769" spans="1:23" ht="14.5" x14ac:dyDescent="0.35">
      <c r="A769" s="217"/>
      <c r="B769" s="257"/>
      <c r="C769" s="257"/>
      <c r="D769" s="257"/>
      <c r="E769" s="337"/>
      <c r="F769" s="33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</row>
    <row r="770" spans="1:23" ht="14.5" x14ac:dyDescent="0.35">
      <c r="A770" s="217"/>
      <c r="B770" s="257"/>
      <c r="C770" s="257"/>
      <c r="D770" s="257"/>
      <c r="E770" s="337"/>
      <c r="F770" s="33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</row>
    <row r="771" spans="1:23" ht="14.5" x14ac:dyDescent="0.35">
      <c r="A771" s="217"/>
      <c r="B771" s="257"/>
      <c r="C771" s="257"/>
      <c r="D771" s="257"/>
      <c r="E771" s="337"/>
      <c r="F771" s="33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</row>
    <row r="772" spans="1:23" ht="14.5" x14ac:dyDescent="0.35">
      <c r="A772" s="217"/>
      <c r="B772" s="257"/>
      <c r="C772" s="257"/>
      <c r="D772" s="257"/>
      <c r="E772" s="337"/>
      <c r="F772" s="33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</row>
    <row r="773" spans="1:23" ht="14.5" x14ac:dyDescent="0.35">
      <c r="A773" s="217"/>
      <c r="B773" s="257"/>
      <c r="C773" s="257"/>
      <c r="D773" s="257"/>
      <c r="E773" s="337"/>
      <c r="F773" s="33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</row>
    <row r="774" spans="1:23" ht="14.5" x14ac:dyDescent="0.35">
      <c r="A774" s="217"/>
      <c r="B774" s="257"/>
      <c r="C774" s="257"/>
      <c r="D774" s="257"/>
      <c r="E774" s="337"/>
      <c r="F774" s="33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</row>
    <row r="775" spans="1:23" ht="14.5" x14ac:dyDescent="0.35">
      <c r="A775" s="217"/>
      <c r="B775" s="257"/>
      <c r="C775" s="257"/>
      <c r="D775" s="257"/>
      <c r="E775" s="337"/>
      <c r="F775" s="33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</row>
    <row r="776" spans="1:23" ht="14.5" x14ac:dyDescent="0.35">
      <c r="A776" s="217"/>
      <c r="B776" s="257"/>
      <c r="C776" s="257"/>
      <c r="D776" s="257"/>
      <c r="E776" s="337"/>
      <c r="F776" s="33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</row>
    <row r="777" spans="1:23" ht="14.5" x14ac:dyDescent="0.35">
      <c r="A777" s="217"/>
      <c r="B777" s="257"/>
      <c r="C777" s="257"/>
      <c r="D777" s="257"/>
      <c r="E777" s="337"/>
      <c r="F777" s="33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</row>
    <row r="778" spans="1:23" ht="14.5" x14ac:dyDescent="0.35">
      <c r="A778" s="217"/>
      <c r="B778" s="257"/>
      <c r="C778" s="257"/>
      <c r="D778" s="257"/>
      <c r="E778" s="337"/>
      <c r="F778" s="33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</row>
    <row r="779" spans="1:23" ht="14.5" x14ac:dyDescent="0.35">
      <c r="A779" s="217"/>
      <c r="B779" s="257"/>
      <c r="C779" s="257"/>
      <c r="D779" s="257"/>
      <c r="E779" s="337"/>
      <c r="F779" s="33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</row>
    <row r="780" spans="1:23" ht="14.5" x14ac:dyDescent="0.35">
      <c r="A780" s="217"/>
      <c r="B780" s="257"/>
      <c r="C780" s="257"/>
      <c r="D780" s="257"/>
      <c r="E780" s="337"/>
      <c r="F780" s="33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</row>
    <row r="781" spans="1:23" ht="14.5" x14ac:dyDescent="0.35">
      <c r="A781" s="217"/>
      <c r="B781" s="257"/>
      <c r="C781" s="257"/>
      <c r="D781" s="257"/>
      <c r="E781" s="337"/>
      <c r="F781" s="33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</row>
    <row r="782" spans="1:23" ht="14.5" x14ac:dyDescent="0.35">
      <c r="A782" s="217"/>
      <c r="B782" s="257"/>
      <c r="C782" s="257"/>
      <c r="D782" s="257"/>
      <c r="E782" s="337"/>
      <c r="F782" s="33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</row>
    <row r="783" spans="1:23" ht="14.5" x14ac:dyDescent="0.35">
      <c r="A783" s="217"/>
      <c r="B783" s="257"/>
      <c r="C783" s="257"/>
      <c r="D783" s="257"/>
      <c r="E783" s="337"/>
      <c r="F783" s="33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</row>
    <row r="784" spans="1:23" ht="14.5" x14ac:dyDescent="0.35">
      <c r="A784" s="217"/>
      <c r="B784" s="257"/>
      <c r="C784" s="257"/>
      <c r="D784" s="257"/>
      <c r="E784" s="337"/>
      <c r="F784" s="33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</row>
    <row r="785" spans="1:23" ht="14.5" x14ac:dyDescent="0.35">
      <c r="A785" s="217"/>
      <c r="B785" s="257"/>
      <c r="C785" s="257"/>
      <c r="D785" s="257"/>
      <c r="E785" s="337"/>
      <c r="F785" s="33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</row>
    <row r="786" spans="1:23" ht="14.5" x14ac:dyDescent="0.35">
      <c r="A786" s="217"/>
      <c r="B786" s="257"/>
      <c r="C786" s="257"/>
      <c r="D786" s="257"/>
      <c r="E786" s="337"/>
      <c r="F786" s="33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</row>
    <row r="787" spans="1:23" ht="14.5" x14ac:dyDescent="0.35">
      <c r="A787" s="217"/>
      <c r="B787" s="257"/>
      <c r="C787" s="257"/>
      <c r="D787" s="257"/>
      <c r="E787" s="337"/>
      <c r="F787" s="33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</row>
    <row r="788" spans="1:23" ht="14.5" x14ac:dyDescent="0.35">
      <c r="A788" s="217"/>
      <c r="B788" s="257"/>
      <c r="C788" s="257"/>
      <c r="D788" s="257"/>
      <c r="E788" s="337"/>
      <c r="F788" s="33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</row>
    <row r="789" spans="1:23" ht="14.5" x14ac:dyDescent="0.35">
      <c r="A789" s="217"/>
      <c r="B789" s="257"/>
      <c r="C789" s="257"/>
      <c r="D789" s="257"/>
      <c r="E789" s="337"/>
      <c r="F789" s="33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</row>
    <row r="790" spans="1:23" ht="14.5" x14ac:dyDescent="0.35">
      <c r="A790" s="217"/>
      <c r="B790" s="257"/>
      <c r="C790" s="257"/>
      <c r="D790" s="257"/>
      <c r="E790" s="337"/>
      <c r="F790" s="33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</row>
    <row r="791" spans="1:23" ht="14.5" x14ac:dyDescent="0.35">
      <c r="A791" s="217"/>
      <c r="B791" s="257"/>
      <c r="C791" s="257"/>
      <c r="D791" s="257"/>
      <c r="E791" s="337"/>
      <c r="F791" s="33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</row>
    <row r="792" spans="1:23" ht="14.5" x14ac:dyDescent="0.35">
      <c r="A792" s="217"/>
      <c r="B792" s="257"/>
      <c r="C792" s="257"/>
      <c r="D792" s="257"/>
      <c r="E792" s="337"/>
      <c r="F792" s="33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</row>
    <row r="793" spans="1:23" ht="14.5" x14ac:dyDescent="0.35">
      <c r="A793" s="217"/>
      <c r="B793" s="257"/>
      <c r="C793" s="257"/>
      <c r="D793" s="257"/>
      <c r="E793" s="337"/>
      <c r="F793" s="33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</row>
    <row r="794" spans="1:23" ht="14.5" x14ac:dyDescent="0.35">
      <c r="A794" s="217"/>
      <c r="B794" s="257"/>
      <c r="C794" s="257"/>
      <c r="D794" s="257"/>
      <c r="E794" s="337"/>
      <c r="F794" s="33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</row>
    <row r="795" spans="1:23" ht="14.5" x14ac:dyDescent="0.35">
      <c r="A795" s="217"/>
      <c r="B795" s="257"/>
      <c r="C795" s="257"/>
      <c r="D795" s="257"/>
      <c r="E795" s="337"/>
      <c r="F795" s="33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</row>
    <row r="796" spans="1:23" ht="14.5" x14ac:dyDescent="0.35">
      <c r="A796" s="217"/>
      <c r="B796" s="257"/>
      <c r="C796" s="257"/>
      <c r="D796" s="257"/>
      <c r="E796" s="337"/>
      <c r="F796" s="33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</row>
    <row r="797" spans="1:23" ht="14.5" x14ac:dyDescent="0.35">
      <c r="A797" s="217"/>
      <c r="B797" s="257"/>
      <c r="C797" s="257"/>
      <c r="D797" s="257"/>
      <c r="E797" s="337"/>
      <c r="F797" s="33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</row>
    <row r="798" spans="1:23" ht="14.5" x14ac:dyDescent="0.35">
      <c r="A798" s="217"/>
      <c r="B798" s="257"/>
      <c r="C798" s="257"/>
      <c r="D798" s="257"/>
      <c r="E798" s="337"/>
      <c r="F798" s="33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</row>
    <row r="799" spans="1:23" ht="14.5" x14ac:dyDescent="0.35">
      <c r="A799" s="217"/>
      <c r="B799" s="257"/>
      <c r="C799" s="257"/>
      <c r="D799" s="257"/>
      <c r="E799" s="337"/>
      <c r="F799" s="33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</row>
    <row r="800" spans="1:23" ht="14.5" x14ac:dyDescent="0.35">
      <c r="A800" s="217"/>
      <c r="B800" s="257"/>
      <c r="C800" s="257"/>
      <c r="D800" s="257"/>
      <c r="E800" s="337"/>
      <c r="F800" s="33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</row>
    <row r="801" spans="1:23" ht="14.5" x14ac:dyDescent="0.35">
      <c r="A801" s="217"/>
      <c r="B801" s="257"/>
      <c r="C801" s="257"/>
      <c r="D801" s="257"/>
      <c r="E801" s="337"/>
      <c r="F801" s="33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</row>
    <row r="802" spans="1:23" ht="14.5" x14ac:dyDescent="0.35">
      <c r="A802" s="217"/>
      <c r="B802" s="257"/>
      <c r="C802" s="257"/>
      <c r="D802" s="257"/>
      <c r="E802" s="337"/>
      <c r="F802" s="33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</row>
    <row r="803" spans="1:23" ht="14.5" x14ac:dyDescent="0.35">
      <c r="A803" s="217"/>
      <c r="B803" s="257"/>
      <c r="C803" s="257"/>
      <c r="D803" s="257"/>
      <c r="E803" s="337"/>
      <c r="F803" s="33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</row>
    <row r="804" spans="1:23" ht="14.5" x14ac:dyDescent="0.35">
      <c r="A804" s="217"/>
      <c r="B804" s="257"/>
      <c r="C804" s="257"/>
      <c r="D804" s="257"/>
      <c r="E804" s="337"/>
      <c r="F804" s="33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</row>
    <row r="805" spans="1:23" ht="14.5" x14ac:dyDescent="0.35">
      <c r="A805" s="217"/>
      <c r="B805" s="257"/>
      <c r="C805" s="257"/>
      <c r="D805" s="257"/>
      <c r="E805" s="337"/>
      <c r="F805" s="33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</row>
    <row r="806" spans="1:23" ht="14.5" x14ac:dyDescent="0.35">
      <c r="A806" s="217"/>
      <c r="B806" s="257"/>
      <c r="C806" s="257"/>
      <c r="D806" s="257"/>
      <c r="E806" s="337"/>
      <c r="F806" s="33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</row>
    <row r="807" spans="1:23" ht="14.5" x14ac:dyDescent="0.35">
      <c r="A807" s="217"/>
      <c r="B807" s="257"/>
      <c r="C807" s="257"/>
      <c r="D807" s="257"/>
      <c r="E807" s="337"/>
      <c r="F807" s="33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</row>
    <row r="808" spans="1:23" ht="14.5" x14ac:dyDescent="0.35">
      <c r="A808" s="217"/>
      <c r="B808" s="257"/>
      <c r="C808" s="257"/>
      <c r="D808" s="257"/>
      <c r="E808" s="337"/>
      <c r="F808" s="33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</row>
    <row r="809" spans="1:23" ht="14.5" x14ac:dyDescent="0.35">
      <c r="A809" s="217"/>
      <c r="B809" s="257"/>
      <c r="C809" s="257"/>
      <c r="D809" s="257"/>
      <c r="E809" s="337"/>
      <c r="F809" s="33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</row>
    <row r="810" spans="1:23" ht="14.5" x14ac:dyDescent="0.35">
      <c r="A810" s="217"/>
      <c r="B810" s="257"/>
      <c r="C810" s="257"/>
      <c r="D810" s="257"/>
      <c r="E810" s="337"/>
      <c r="F810" s="33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</row>
    <row r="811" spans="1:23" ht="14.5" x14ac:dyDescent="0.35">
      <c r="A811" s="217"/>
      <c r="B811" s="257"/>
      <c r="C811" s="257"/>
      <c r="D811" s="257"/>
      <c r="E811" s="337"/>
      <c r="F811" s="33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</row>
    <row r="812" spans="1:23" ht="14.5" x14ac:dyDescent="0.35">
      <c r="A812" s="217"/>
      <c r="B812" s="257"/>
      <c r="C812" s="257"/>
      <c r="D812" s="257"/>
      <c r="E812" s="337"/>
      <c r="F812" s="33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</row>
    <row r="813" spans="1:23" ht="14.5" x14ac:dyDescent="0.35">
      <c r="A813" s="217"/>
      <c r="B813" s="257"/>
      <c r="C813" s="257"/>
      <c r="D813" s="257"/>
      <c r="E813" s="337"/>
      <c r="F813" s="33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</row>
    <row r="814" spans="1:23" ht="14.5" x14ac:dyDescent="0.35">
      <c r="A814" s="217"/>
      <c r="B814" s="257"/>
      <c r="C814" s="257"/>
      <c r="D814" s="257"/>
      <c r="E814" s="337"/>
      <c r="F814" s="33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</row>
    <row r="815" spans="1:23" ht="14.5" x14ac:dyDescent="0.35">
      <c r="A815" s="217"/>
      <c r="B815" s="257"/>
      <c r="C815" s="257"/>
      <c r="D815" s="257"/>
      <c r="E815" s="337"/>
      <c r="F815" s="33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</row>
    <row r="816" spans="1:23" ht="14.5" x14ac:dyDescent="0.35">
      <c r="A816" s="217"/>
      <c r="B816" s="257"/>
      <c r="C816" s="257"/>
      <c r="D816" s="257"/>
      <c r="E816" s="337"/>
      <c r="F816" s="33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</row>
    <row r="817" spans="1:23" ht="14.5" x14ac:dyDescent="0.35">
      <c r="A817" s="217"/>
      <c r="B817" s="257"/>
      <c r="C817" s="257"/>
      <c r="D817" s="257"/>
      <c r="E817" s="337"/>
      <c r="F817" s="33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</row>
    <row r="818" spans="1:23" ht="14.5" x14ac:dyDescent="0.35">
      <c r="A818" s="217"/>
      <c r="B818" s="257"/>
      <c r="C818" s="257"/>
      <c r="D818" s="257"/>
      <c r="E818" s="337"/>
      <c r="F818" s="33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</row>
    <row r="819" spans="1:23" ht="14.5" x14ac:dyDescent="0.35">
      <c r="A819" s="217"/>
      <c r="B819" s="257"/>
      <c r="C819" s="257"/>
      <c r="D819" s="257"/>
      <c r="E819" s="337"/>
      <c r="F819" s="33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</row>
    <row r="820" spans="1:23" ht="14.5" x14ac:dyDescent="0.35">
      <c r="A820" s="217"/>
      <c r="B820" s="257"/>
      <c r="C820" s="257"/>
      <c r="D820" s="257"/>
      <c r="E820" s="337"/>
      <c r="F820" s="33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</row>
    <row r="821" spans="1:23" ht="14.5" x14ac:dyDescent="0.35">
      <c r="A821" s="217"/>
      <c r="B821" s="257"/>
      <c r="C821" s="257"/>
      <c r="D821" s="257"/>
      <c r="E821" s="337"/>
      <c r="F821" s="33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</row>
    <row r="822" spans="1:23" ht="14.5" x14ac:dyDescent="0.35">
      <c r="A822" s="217"/>
      <c r="B822" s="257"/>
      <c r="C822" s="257"/>
      <c r="D822" s="257"/>
      <c r="E822" s="337"/>
      <c r="F822" s="33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</row>
    <row r="823" spans="1:23" ht="14.5" x14ac:dyDescent="0.35">
      <c r="A823" s="217"/>
      <c r="B823" s="257"/>
      <c r="C823" s="257"/>
      <c r="D823" s="257"/>
      <c r="E823" s="337"/>
      <c r="F823" s="33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</row>
    <row r="824" spans="1:23" ht="14.5" x14ac:dyDescent="0.35">
      <c r="A824" s="217"/>
      <c r="B824" s="257"/>
      <c r="C824" s="257"/>
      <c r="D824" s="257"/>
      <c r="E824" s="337"/>
      <c r="F824" s="33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</row>
    <row r="825" spans="1:23" ht="14.5" x14ac:dyDescent="0.35">
      <c r="A825" s="217"/>
      <c r="B825" s="257"/>
      <c r="C825" s="257"/>
      <c r="D825" s="257"/>
      <c r="E825" s="337"/>
      <c r="F825" s="33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</row>
    <row r="826" spans="1:23" ht="14.5" x14ac:dyDescent="0.35">
      <c r="A826" s="217"/>
      <c r="B826" s="257"/>
      <c r="C826" s="257"/>
      <c r="D826" s="257"/>
      <c r="E826" s="337"/>
      <c r="F826" s="33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</row>
    <row r="827" spans="1:23" ht="14.5" x14ac:dyDescent="0.35">
      <c r="A827" s="217"/>
      <c r="B827" s="257"/>
      <c r="C827" s="257"/>
      <c r="D827" s="257"/>
      <c r="E827" s="337"/>
      <c r="F827" s="33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</row>
    <row r="828" spans="1:23" ht="14.5" x14ac:dyDescent="0.35">
      <c r="A828" s="217"/>
      <c r="B828" s="257"/>
      <c r="C828" s="257"/>
      <c r="D828" s="257"/>
      <c r="E828" s="337"/>
      <c r="F828" s="33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</row>
    <row r="829" spans="1:23" ht="14.5" x14ac:dyDescent="0.35">
      <c r="A829" s="217"/>
      <c r="B829" s="257"/>
      <c r="C829" s="257"/>
      <c r="D829" s="257"/>
      <c r="E829" s="337"/>
      <c r="F829" s="33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</row>
    <row r="830" spans="1:23" ht="14.5" x14ac:dyDescent="0.35">
      <c r="A830" s="217"/>
      <c r="B830" s="257"/>
      <c r="C830" s="257"/>
      <c r="D830" s="257"/>
      <c r="E830" s="337"/>
      <c r="F830" s="33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</row>
    <row r="831" spans="1:23" ht="14.5" x14ac:dyDescent="0.35">
      <c r="A831" s="217"/>
      <c r="B831" s="257"/>
      <c r="C831" s="257"/>
      <c r="D831" s="257"/>
      <c r="E831" s="337"/>
      <c r="F831" s="33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</row>
    <row r="832" spans="1:23" ht="14.5" x14ac:dyDescent="0.35">
      <c r="A832" s="217"/>
      <c r="B832" s="257"/>
      <c r="C832" s="257"/>
      <c r="D832" s="257"/>
      <c r="E832" s="337"/>
      <c r="F832" s="33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</row>
    <row r="833" spans="1:23" ht="14.5" x14ac:dyDescent="0.35">
      <c r="A833" s="217"/>
      <c r="B833" s="257"/>
      <c r="C833" s="257"/>
      <c r="D833" s="257"/>
      <c r="E833" s="337"/>
      <c r="F833" s="33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</row>
    <row r="834" spans="1:23" ht="14.5" x14ac:dyDescent="0.35">
      <c r="A834" s="217"/>
      <c r="B834" s="257"/>
      <c r="C834" s="257"/>
      <c r="D834" s="257"/>
      <c r="E834" s="337"/>
      <c r="F834" s="33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</row>
    <row r="835" spans="1:23" ht="14.5" x14ac:dyDescent="0.35">
      <c r="A835" s="217"/>
      <c r="B835" s="257"/>
      <c r="C835" s="257"/>
      <c r="D835" s="257"/>
      <c r="E835" s="337"/>
      <c r="F835" s="33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</row>
    <row r="836" spans="1:23" ht="14.5" x14ac:dyDescent="0.35">
      <c r="A836" s="217"/>
      <c r="B836" s="257"/>
      <c r="C836" s="257"/>
      <c r="D836" s="257"/>
      <c r="E836" s="337"/>
      <c r="F836" s="33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</row>
    <row r="837" spans="1:23" ht="14.5" x14ac:dyDescent="0.35">
      <c r="A837" s="217"/>
      <c r="B837" s="257"/>
      <c r="C837" s="257"/>
      <c r="D837" s="257"/>
      <c r="E837" s="337"/>
      <c r="F837" s="33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</row>
    <row r="838" spans="1:23" ht="14.5" x14ac:dyDescent="0.35">
      <c r="A838" s="217"/>
      <c r="B838" s="257"/>
      <c r="C838" s="257"/>
      <c r="D838" s="257"/>
      <c r="E838" s="337"/>
      <c r="F838" s="33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</row>
    <row r="839" spans="1:23" ht="14.5" x14ac:dyDescent="0.35">
      <c r="A839" s="217"/>
      <c r="B839" s="257"/>
      <c r="C839" s="257"/>
      <c r="D839" s="257"/>
      <c r="E839" s="337"/>
      <c r="F839" s="33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</row>
    <row r="840" spans="1:23" ht="14.5" x14ac:dyDescent="0.35">
      <c r="A840" s="217"/>
      <c r="B840" s="257"/>
      <c r="C840" s="257"/>
      <c r="D840" s="257"/>
      <c r="E840" s="337"/>
      <c r="F840" s="33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</row>
    <row r="841" spans="1:23" ht="14.5" x14ac:dyDescent="0.35">
      <c r="A841" s="217"/>
      <c r="B841" s="257"/>
      <c r="C841" s="257"/>
      <c r="D841" s="257"/>
      <c r="E841" s="337"/>
      <c r="F841" s="33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</row>
    <row r="842" spans="1:23" ht="14.5" x14ac:dyDescent="0.35">
      <c r="A842" s="217"/>
      <c r="B842" s="257"/>
      <c r="C842" s="257"/>
      <c r="D842" s="257"/>
      <c r="E842" s="337"/>
      <c r="F842" s="33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</row>
    <row r="843" spans="1:23" ht="14.5" x14ac:dyDescent="0.35">
      <c r="A843" s="217"/>
      <c r="B843" s="257"/>
      <c r="C843" s="257"/>
      <c r="D843" s="257"/>
      <c r="E843" s="337"/>
      <c r="F843" s="33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</row>
    <row r="844" spans="1:23" ht="14.5" x14ac:dyDescent="0.35">
      <c r="A844" s="217"/>
      <c r="B844" s="257"/>
      <c r="C844" s="257"/>
      <c r="D844" s="257"/>
      <c r="E844" s="337"/>
      <c r="F844" s="33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</row>
    <row r="845" spans="1:23" ht="14.5" x14ac:dyDescent="0.35">
      <c r="A845" s="217"/>
      <c r="B845" s="257"/>
      <c r="C845" s="257"/>
      <c r="D845" s="257"/>
      <c r="E845" s="337"/>
      <c r="F845" s="33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</row>
    <row r="846" spans="1:23" ht="14.5" x14ac:dyDescent="0.35">
      <c r="A846" s="217"/>
      <c r="B846" s="257"/>
      <c r="C846" s="257"/>
      <c r="D846" s="257"/>
      <c r="E846" s="337"/>
      <c r="F846" s="33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</row>
    <row r="847" spans="1:23" ht="14.5" x14ac:dyDescent="0.35">
      <c r="A847" s="217"/>
      <c r="B847" s="257"/>
      <c r="C847" s="257"/>
      <c r="D847" s="257"/>
      <c r="E847" s="337"/>
      <c r="F847" s="33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</row>
    <row r="848" spans="1:23" ht="14.5" x14ac:dyDescent="0.35">
      <c r="A848" s="217"/>
      <c r="B848" s="257"/>
      <c r="C848" s="257"/>
      <c r="D848" s="257"/>
      <c r="E848" s="337"/>
      <c r="F848" s="33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</row>
    <row r="849" spans="1:23" ht="14.5" x14ac:dyDescent="0.35">
      <c r="A849" s="217"/>
      <c r="B849" s="257"/>
      <c r="C849" s="257"/>
      <c r="D849" s="257"/>
      <c r="E849" s="337"/>
      <c r="F849" s="33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</row>
    <row r="850" spans="1:23" ht="14.5" x14ac:dyDescent="0.35">
      <c r="A850" s="217"/>
      <c r="B850" s="257"/>
      <c r="C850" s="257"/>
      <c r="D850" s="257"/>
      <c r="E850" s="337"/>
      <c r="F850" s="33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</row>
    <row r="851" spans="1:23" ht="14.5" x14ac:dyDescent="0.35">
      <c r="A851" s="217"/>
      <c r="B851" s="257"/>
      <c r="C851" s="257"/>
      <c r="D851" s="257"/>
      <c r="E851" s="337"/>
      <c r="F851" s="33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</row>
    <row r="852" spans="1:23" ht="14.5" x14ac:dyDescent="0.35">
      <c r="A852" s="217"/>
      <c r="B852" s="257"/>
      <c r="C852" s="257"/>
      <c r="D852" s="257"/>
      <c r="E852" s="337"/>
      <c r="F852" s="33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</row>
    <row r="853" spans="1:23" ht="14.5" x14ac:dyDescent="0.35">
      <c r="A853" s="217"/>
      <c r="B853" s="257"/>
      <c r="C853" s="257"/>
      <c r="D853" s="257"/>
      <c r="E853" s="337"/>
      <c r="F853" s="33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</row>
    <row r="854" spans="1:23" ht="14.5" x14ac:dyDescent="0.35">
      <c r="A854" s="217"/>
      <c r="B854" s="257"/>
      <c r="C854" s="257"/>
      <c r="D854" s="257"/>
      <c r="E854" s="337"/>
      <c r="F854" s="33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</row>
    <row r="855" spans="1:23" ht="14.5" x14ac:dyDescent="0.35">
      <c r="A855" s="217"/>
      <c r="B855" s="257"/>
      <c r="C855" s="257"/>
      <c r="D855" s="257"/>
      <c r="E855" s="337"/>
      <c r="F855" s="33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</row>
    <row r="856" spans="1:23" ht="14.5" x14ac:dyDescent="0.35">
      <c r="A856" s="217"/>
      <c r="B856" s="257"/>
      <c r="C856" s="257"/>
      <c r="D856" s="257"/>
      <c r="E856" s="337"/>
      <c r="F856" s="33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</row>
    <row r="857" spans="1:23" ht="14.5" x14ac:dyDescent="0.35">
      <c r="A857" s="217"/>
      <c r="B857" s="257"/>
      <c r="C857" s="257"/>
      <c r="D857" s="257"/>
      <c r="E857" s="337"/>
      <c r="F857" s="33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</row>
    <row r="858" spans="1:23" ht="14.5" x14ac:dyDescent="0.35">
      <c r="A858" s="217"/>
      <c r="B858" s="257"/>
      <c r="C858" s="257"/>
      <c r="D858" s="257"/>
      <c r="E858" s="337"/>
      <c r="F858" s="33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</row>
    <row r="859" spans="1:23" ht="14.5" x14ac:dyDescent="0.35">
      <c r="A859" s="217"/>
      <c r="B859" s="257"/>
      <c r="C859" s="257"/>
      <c r="D859" s="257"/>
      <c r="E859" s="337"/>
      <c r="F859" s="33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</row>
    <row r="860" spans="1:23" ht="14.5" x14ac:dyDescent="0.35">
      <c r="A860" s="217"/>
      <c r="B860" s="257"/>
      <c r="C860" s="257"/>
      <c r="D860" s="257"/>
      <c r="E860" s="337"/>
      <c r="F860" s="33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</row>
    <row r="861" spans="1:23" ht="14.5" x14ac:dyDescent="0.35">
      <c r="A861" s="217"/>
      <c r="B861" s="257"/>
      <c r="C861" s="257"/>
      <c r="D861" s="257"/>
      <c r="E861" s="337"/>
      <c r="F861" s="33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</row>
    <row r="862" spans="1:23" ht="14.5" x14ac:dyDescent="0.35">
      <c r="A862" s="217"/>
      <c r="B862" s="257"/>
      <c r="C862" s="257"/>
      <c r="D862" s="257"/>
      <c r="E862" s="337"/>
      <c r="F862" s="33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</row>
    <row r="863" spans="1:23" ht="14.5" x14ac:dyDescent="0.35">
      <c r="A863" s="217"/>
      <c r="B863" s="257"/>
      <c r="C863" s="257"/>
      <c r="D863" s="257"/>
      <c r="E863" s="337"/>
      <c r="F863" s="33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</row>
    <row r="864" spans="1:23" ht="14.5" x14ac:dyDescent="0.35">
      <c r="A864" s="217"/>
      <c r="B864" s="257"/>
      <c r="C864" s="257"/>
      <c r="D864" s="257"/>
      <c r="E864" s="337"/>
      <c r="F864" s="33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</row>
    <row r="865" spans="1:23" ht="14.5" x14ac:dyDescent="0.35">
      <c r="A865" s="217"/>
      <c r="B865" s="257"/>
      <c r="C865" s="257"/>
      <c r="D865" s="257"/>
      <c r="E865" s="337"/>
      <c r="F865" s="33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</row>
    <row r="866" spans="1:23" ht="14.5" x14ac:dyDescent="0.35">
      <c r="A866" s="217"/>
      <c r="B866" s="257"/>
      <c r="C866" s="257"/>
      <c r="D866" s="257"/>
      <c r="E866" s="337"/>
      <c r="F866" s="33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</row>
    <row r="867" spans="1:23" ht="14.5" x14ac:dyDescent="0.35">
      <c r="A867" s="217"/>
      <c r="B867" s="257"/>
      <c r="C867" s="257"/>
      <c r="D867" s="257"/>
      <c r="E867" s="337"/>
      <c r="F867" s="33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</row>
    <row r="868" spans="1:23" ht="14.5" x14ac:dyDescent="0.35">
      <c r="A868" s="217"/>
      <c r="B868" s="257"/>
      <c r="C868" s="257"/>
      <c r="D868" s="257"/>
      <c r="E868" s="337"/>
      <c r="F868" s="33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</row>
    <row r="869" spans="1:23" ht="14.5" x14ac:dyDescent="0.35">
      <c r="A869" s="217"/>
      <c r="B869" s="257"/>
      <c r="C869" s="257"/>
      <c r="D869" s="257"/>
      <c r="E869" s="337"/>
      <c r="F869" s="33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</row>
    <row r="870" spans="1:23" ht="14.5" x14ac:dyDescent="0.35">
      <c r="A870" s="217"/>
      <c r="B870" s="257"/>
      <c r="C870" s="257"/>
      <c r="D870" s="257"/>
      <c r="E870" s="337"/>
      <c r="F870" s="33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</row>
    <row r="871" spans="1:23" ht="14.5" x14ac:dyDescent="0.35">
      <c r="A871" s="217"/>
      <c r="B871" s="257"/>
      <c r="C871" s="257"/>
      <c r="D871" s="257"/>
      <c r="E871" s="337"/>
      <c r="F871" s="33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</row>
    <row r="872" spans="1:23" ht="14.5" x14ac:dyDescent="0.35">
      <c r="A872" s="217"/>
      <c r="B872" s="257"/>
      <c r="C872" s="257"/>
      <c r="D872" s="257"/>
      <c r="E872" s="337"/>
      <c r="F872" s="33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</row>
    <row r="873" spans="1:23" ht="14.5" x14ac:dyDescent="0.35">
      <c r="A873" s="217"/>
      <c r="B873" s="257"/>
      <c r="C873" s="257"/>
      <c r="D873" s="257"/>
      <c r="E873" s="337"/>
      <c r="F873" s="33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</row>
    <row r="874" spans="1:23" ht="14.5" x14ac:dyDescent="0.35">
      <c r="A874" s="217"/>
      <c r="B874" s="257"/>
      <c r="C874" s="257"/>
      <c r="D874" s="257"/>
      <c r="E874" s="337"/>
      <c r="F874" s="33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</row>
    <row r="875" spans="1:23" ht="14.5" x14ac:dyDescent="0.35">
      <c r="A875" s="217"/>
      <c r="B875" s="257"/>
      <c r="C875" s="257"/>
      <c r="D875" s="257"/>
      <c r="E875" s="337"/>
      <c r="F875" s="33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</row>
    <row r="876" spans="1:23" ht="14.5" x14ac:dyDescent="0.35">
      <c r="A876" s="217"/>
      <c r="B876" s="257"/>
      <c r="C876" s="257"/>
      <c r="D876" s="257"/>
      <c r="E876" s="337"/>
      <c r="F876" s="33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</row>
    <row r="877" spans="1:23" ht="14.5" x14ac:dyDescent="0.35">
      <c r="A877" s="217"/>
      <c r="B877" s="257"/>
      <c r="C877" s="257"/>
      <c r="D877" s="257"/>
      <c r="E877" s="337"/>
      <c r="F877" s="33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</row>
    <row r="878" spans="1:23" ht="14.5" x14ac:dyDescent="0.35">
      <c r="A878" s="217"/>
      <c r="B878" s="257"/>
      <c r="C878" s="257"/>
      <c r="D878" s="257"/>
      <c r="E878" s="337"/>
      <c r="F878" s="33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</row>
    <row r="879" spans="1:23" ht="14.5" x14ac:dyDescent="0.35">
      <c r="A879" s="217"/>
      <c r="B879" s="257"/>
      <c r="C879" s="257"/>
      <c r="D879" s="257"/>
      <c r="E879" s="337"/>
      <c r="F879" s="33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</row>
    <row r="880" spans="1:23" ht="14.5" x14ac:dyDescent="0.35">
      <c r="A880" s="217"/>
      <c r="B880" s="257"/>
      <c r="C880" s="257"/>
      <c r="D880" s="257"/>
      <c r="E880" s="337"/>
      <c r="F880" s="33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</row>
    <row r="881" spans="1:23" ht="14.5" x14ac:dyDescent="0.35">
      <c r="A881" s="217"/>
      <c r="B881" s="257"/>
      <c r="C881" s="257"/>
      <c r="D881" s="257"/>
      <c r="E881" s="337"/>
      <c r="F881" s="33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</row>
    <row r="882" spans="1:23" ht="14.5" x14ac:dyDescent="0.35">
      <c r="A882" s="217"/>
      <c r="B882" s="257"/>
      <c r="C882" s="257"/>
      <c r="D882" s="257"/>
      <c r="E882" s="337"/>
      <c r="F882" s="33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</row>
    <row r="883" spans="1:23" ht="14.5" x14ac:dyDescent="0.35">
      <c r="A883" s="217"/>
      <c r="B883" s="257"/>
      <c r="C883" s="257"/>
      <c r="D883" s="257"/>
      <c r="E883" s="337"/>
      <c r="F883" s="33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</row>
    <row r="884" spans="1:23" ht="14.5" x14ac:dyDescent="0.35">
      <c r="A884" s="217"/>
      <c r="B884" s="257"/>
      <c r="C884" s="257"/>
      <c r="D884" s="257"/>
      <c r="E884" s="337"/>
      <c r="F884" s="33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</row>
    <row r="885" spans="1:23" ht="14.5" x14ac:dyDescent="0.35">
      <c r="A885" s="217"/>
      <c r="B885" s="257"/>
      <c r="C885" s="257"/>
      <c r="D885" s="257"/>
      <c r="E885" s="337"/>
      <c r="F885" s="33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</row>
    <row r="886" spans="1:23" ht="14.5" x14ac:dyDescent="0.35">
      <c r="A886" s="217"/>
      <c r="B886" s="257"/>
      <c r="C886" s="257"/>
      <c r="D886" s="257"/>
      <c r="E886" s="337"/>
      <c r="F886" s="33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</row>
    <row r="887" spans="1:23" ht="14.5" x14ac:dyDescent="0.35">
      <c r="A887" s="217"/>
      <c r="B887" s="257"/>
      <c r="C887" s="257"/>
      <c r="D887" s="257"/>
      <c r="E887" s="337"/>
      <c r="F887" s="33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</row>
    <row r="888" spans="1:23" ht="14.5" x14ac:dyDescent="0.35">
      <c r="A888" s="217"/>
      <c r="B888" s="257"/>
      <c r="C888" s="257"/>
      <c r="D888" s="257"/>
      <c r="E888" s="337"/>
      <c r="F888" s="33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</row>
    <row r="889" spans="1:23" ht="14.5" x14ac:dyDescent="0.35">
      <c r="A889" s="217"/>
      <c r="B889" s="257"/>
      <c r="C889" s="257"/>
      <c r="D889" s="257"/>
      <c r="E889" s="337"/>
      <c r="F889" s="33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</row>
    <row r="890" spans="1:23" ht="14.5" x14ac:dyDescent="0.35">
      <c r="A890" s="217"/>
      <c r="B890" s="257"/>
      <c r="C890" s="257"/>
      <c r="D890" s="257"/>
      <c r="E890" s="337"/>
      <c r="F890" s="33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</row>
    <row r="891" spans="1:23" ht="14.5" x14ac:dyDescent="0.35">
      <c r="A891" s="217"/>
      <c r="B891" s="257"/>
      <c r="C891" s="257"/>
      <c r="D891" s="257"/>
      <c r="E891" s="337"/>
      <c r="F891" s="33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</row>
    <row r="892" spans="1:23" ht="14.5" x14ac:dyDescent="0.35">
      <c r="A892" s="217"/>
      <c r="B892" s="257"/>
      <c r="C892" s="257"/>
      <c r="D892" s="257"/>
      <c r="E892" s="337"/>
      <c r="F892" s="33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</row>
    <row r="893" spans="1:23" ht="14.5" x14ac:dyDescent="0.35">
      <c r="A893" s="217"/>
      <c r="B893" s="257"/>
      <c r="C893" s="257"/>
      <c r="D893" s="257"/>
      <c r="E893" s="337"/>
      <c r="F893" s="33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</row>
    <row r="894" spans="1:23" ht="14.5" x14ac:dyDescent="0.35">
      <c r="A894" s="217"/>
      <c r="B894" s="257"/>
      <c r="C894" s="257"/>
      <c r="D894" s="257"/>
      <c r="E894" s="337"/>
      <c r="F894" s="33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</row>
    <row r="895" spans="1:23" ht="14.5" x14ac:dyDescent="0.35">
      <c r="A895" s="217"/>
      <c r="B895" s="257"/>
      <c r="C895" s="257"/>
      <c r="D895" s="257"/>
      <c r="E895" s="337"/>
      <c r="F895" s="33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</row>
    <row r="896" spans="1:23" ht="14.5" x14ac:dyDescent="0.35">
      <c r="A896" s="217"/>
      <c r="B896" s="257"/>
      <c r="C896" s="257"/>
      <c r="D896" s="257"/>
      <c r="E896" s="337"/>
      <c r="F896" s="33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</row>
    <row r="897" spans="1:23" ht="14.5" x14ac:dyDescent="0.35">
      <c r="A897" s="217"/>
      <c r="B897" s="257"/>
      <c r="C897" s="257"/>
      <c r="D897" s="257"/>
      <c r="E897" s="337"/>
      <c r="F897" s="33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</row>
    <row r="898" spans="1:23" ht="14.5" x14ac:dyDescent="0.35">
      <c r="A898" s="217"/>
      <c r="B898" s="257"/>
      <c r="C898" s="257"/>
      <c r="D898" s="257"/>
      <c r="E898" s="337"/>
      <c r="F898" s="33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</row>
    <row r="899" spans="1:23" ht="14.5" x14ac:dyDescent="0.35">
      <c r="A899" s="217"/>
      <c r="B899" s="257"/>
      <c r="C899" s="257"/>
      <c r="D899" s="257"/>
      <c r="E899" s="337"/>
      <c r="F899" s="33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</row>
    <row r="900" spans="1:23" ht="14.5" x14ac:dyDescent="0.35">
      <c r="A900" s="217"/>
      <c r="B900" s="257"/>
      <c r="C900" s="257"/>
      <c r="D900" s="257"/>
      <c r="E900" s="337"/>
      <c r="F900" s="33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</row>
    <row r="901" spans="1:23" ht="14.5" x14ac:dyDescent="0.35">
      <c r="A901" s="217"/>
      <c r="B901" s="257"/>
      <c r="C901" s="257"/>
      <c r="D901" s="257"/>
      <c r="E901" s="337"/>
      <c r="F901" s="33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</row>
    <row r="902" spans="1:23" ht="14.5" x14ac:dyDescent="0.35">
      <c r="A902" s="217"/>
      <c r="B902" s="257"/>
      <c r="C902" s="257"/>
      <c r="D902" s="257"/>
      <c r="E902" s="337"/>
      <c r="F902" s="33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</row>
    <row r="903" spans="1:23" ht="14.5" x14ac:dyDescent="0.35">
      <c r="A903" s="217"/>
      <c r="B903" s="257"/>
      <c r="C903" s="257"/>
      <c r="D903" s="257"/>
      <c r="E903" s="337"/>
      <c r="F903" s="33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</row>
    <row r="904" spans="1:23" ht="14.5" x14ac:dyDescent="0.35">
      <c r="A904" s="217"/>
      <c r="B904" s="257"/>
      <c r="C904" s="257"/>
      <c r="D904" s="257"/>
      <c r="E904" s="337"/>
      <c r="F904" s="33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</row>
    <row r="905" spans="1:23" ht="14.5" x14ac:dyDescent="0.35">
      <c r="A905" s="217"/>
      <c r="B905" s="257"/>
      <c r="C905" s="257"/>
      <c r="D905" s="257"/>
      <c r="E905" s="337"/>
      <c r="F905" s="33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</row>
    <row r="906" spans="1:23" ht="14.5" x14ac:dyDescent="0.35">
      <c r="A906" s="217"/>
      <c r="B906" s="257"/>
      <c r="C906" s="257"/>
      <c r="D906" s="257"/>
      <c r="E906" s="337"/>
      <c r="F906" s="33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</row>
    <row r="907" spans="1:23" ht="14.5" x14ac:dyDescent="0.35">
      <c r="A907" s="217"/>
      <c r="B907" s="257"/>
      <c r="C907" s="257"/>
      <c r="D907" s="257"/>
      <c r="E907" s="337"/>
      <c r="F907" s="33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</row>
    <row r="908" spans="1:23" ht="14.5" x14ac:dyDescent="0.35">
      <c r="A908" s="217"/>
      <c r="B908" s="257"/>
      <c r="C908" s="257"/>
      <c r="D908" s="257"/>
      <c r="E908" s="337"/>
      <c r="F908" s="33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</row>
    <row r="909" spans="1:23" ht="14.5" x14ac:dyDescent="0.35">
      <c r="A909" s="217"/>
      <c r="B909" s="257"/>
      <c r="C909" s="257"/>
      <c r="D909" s="257"/>
      <c r="E909" s="337"/>
      <c r="F909" s="33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</row>
    <row r="910" spans="1:23" ht="14.5" x14ac:dyDescent="0.35">
      <c r="A910" s="217"/>
      <c r="B910" s="257"/>
      <c r="C910" s="257"/>
      <c r="D910" s="257"/>
      <c r="E910" s="337"/>
      <c r="F910" s="33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</row>
    <row r="911" spans="1:23" ht="14.5" x14ac:dyDescent="0.35">
      <c r="A911" s="217"/>
      <c r="B911" s="257"/>
      <c r="C911" s="257"/>
      <c r="D911" s="257"/>
      <c r="E911" s="337"/>
      <c r="F911" s="33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</row>
    <row r="912" spans="1:23" ht="14.5" x14ac:dyDescent="0.35">
      <c r="A912" s="217"/>
      <c r="B912" s="257"/>
      <c r="C912" s="257"/>
      <c r="D912" s="257"/>
      <c r="E912" s="337"/>
      <c r="F912" s="33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</row>
    <row r="913" spans="1:23" ht="14.5" x14ac:dyDescent="0.35">
      <c r="A913" s="217"/>
      <c r="B913" s="257"/>
      <c r="C913" s="257"/>
      <c r="D913" s="257"/>
      <c r="E913" s="337"/>
      <c r="F913" s="33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</row>
    <row r="914" spans="1:23" ht="14.5" x14ac:dyDescent="0.35">
      <c r="A914" s="217"/>
      <c r="B914" s="257"/>
      <c r="C914" s="257"/>
      <c r="D914" s="257"/>
      <c r="E914" s="337"/>
      <c r="F914" s="33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</row>
    <row r="915" spans="1:23" ht="14.5" x14ac:dyDescent="0.35">
      <c r="A915" s="217"/>
      <c r="B915" s="257"/>
      <c r="C915" s="257"/>
      <c r="D915" s="257"/>
      <c r="E915" s="337"/>
      <c r="F915" s="33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</row>
    <row r="916" spans="1:23" ht="14.5" x14ac:dyDescent="0.35">
      <c r="A916" s="217"/>
      <c r="B916" s="257"/>
      <c r="C916" s="257"/>
      <c r="D916" s="257"/>
      <c r="E916" s="337"/>
      <c r="F916" s="33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</row>
    <row r="917" spans="1:23" ht="14.5" x14ac:dyDescent="0.35">
      <c r="A917" s="217"/>
      <c r="B917" s="257"/>
      <c r="C917" s="257"/>
      <c r="D917" s="257"/>
      <c r="E917" s="337"/>
      <c r="F917" s="33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</row>
    <row r="918" spans="1:23" ht="14.5" x14ac:dyDescent="0.35">
      <c r="A918" s="217"/>
      <c r="B918" s="257"/>
      <c r="C918" s="257"/>
      <c r="D918" s="257"/>
      <c r="E918" s="337"/>
      <c r="F918" s="33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</row>
    <row r="919" spans="1:23" ht="14.5" x14ac:dyDescent="0.35">
      <c r="A919" s="217"/>
      <c r="B919" s="257"/>
      <c r="C919" s="257"/>
      <c r="D919" s="257"/>
      <c r="E919" s="337"/>
      <c r="F919" s="33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</row>
    <row r="920" spans="1:23" ht="14.5" x14ac:dyDescent="0.35">
      <c r="A920" s="217"/>
      <c r="B920" s="257"/>
      <c r="C920" s="257"/>
      <c r="D920" s="257"/>
      <c r="E920" s="337"/>
      <c r="F920" s="33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</row>
    <row r="921" spans="1:23" ht="14.5" x14ac:dyDescent="0.35">
      <c r="A921" s="217"/>
      <c r="B921" s="257"/>
      <c r="C921" s="257"/>
      <c r="D921" s="257"/>
      <c r="E921" s="337"/>
      <c r="F921" s="33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</row>
    <row r="922" spans="1:23" ht="14.5" x14ac:dyDescent="0.35">
      <c r="A922" s="217"/>
      <c r="B922" s="257"/>
      <c r="C922" s="257"/>
      <c r="D922" s="257"/>
      <c r="E922" s="337"/>
      <c r="F922" s="33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</row>
    <row r="923" spans="1:23" ht="14.5" x14ac:dyDescent="0.35">
      <c r="A923" s="217"/>
      <c r="B923" s="257"/>
      <c r="C923" s="257"/>
      <c r="D923" s="257"/>
      <c r="E923" s="337"/>
      <c r="F923" s="33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</row>
    <row r="924" spans="1:23" ht="14.5" x14ac:dyDescent="0.35">
      <c r="A924" s="217"/>
      <c r="B924" s="257"/>
      <c r="C924" s="257"/>
      <c r="D924" s="257"/>
      <c r="E924" s="337"/>
      <c r="F924" s="33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</row>
    <row r="925" spans="1:23" ht="14.5" x14ac:dyDescent="0.35">
      <c r="A925" s="217"/>
      <c r="B925" s="257"/>
      <c r="C925" s="257"/>
      <c r="D925" s="257"/>
      <c r="E925" s="337"/>
      <c r="F925" s="33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</row>
    <row r="926" spans="1:23" ht="14.5" x14ac:dyDescent="0.35">
      <c r="A926" s="217"/>
      <c r="B926" s="257"/>
      <c r="C926" s="257"/>
      <c r="D926" s="257"/>
      <c r="E926" s="337"/>
      <c r="F926" s="33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</row>
    <row r="927" spans="1:23" ht="14.5" x14ac:dyDescent="0.35">
      <c r="A927" s="217"/>
      <c r="B927" s="257"/>
      <c r="C927" s="257"/>
      <c r="D927" s="257"/>
      <c r="E927" s="337"/>
      <c r="F927" s="33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</row>
    <row r="928" spans="1:23" ht="14.5" x14ac:dyDescent="0.35">
      <c r="A928" s="217"/>
      <c r="B928" s="257"/>
      <c r="C928" s="257"/>
      <c r="D928" s="257"/>
      <c r="E928" s="337"/>
      <c r="F928" s="33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</row>
    <row r="929" spans="1:23" ht="14.5" x14ac:dyDescent="0.35">
      <c r="A929" s="217"/>
      <c r="B929" s="257"/>
      <c r="C929" s="257"/>
      <c r="D929" s="257"/>
      <c r="E929" s="337"/>
      <c r="F929" s="33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</row>
    <row r="930" spans="1:23" ht="14.5" x14ac:dyDescent="0.35">
      <c r="A930" s="217"/>
      <c r="B930" s="257"/>
      <c r="C930" s="257"/>
      <c r="D930" s="257"/>
      <c r="E930" s="337"/>
      <c r="F930" s="33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</row>
    <row r="931" spans="1:23" ht="14.5" x14ac:dyDescent="0.35">
      <c r="A931" s="217"/>
      <c r="B931" s="257"/>
      <c r="C931" s="257"/>
      <c r="D931" s="257"/>
      <c r="E931" s="337"/>
      <c r="F931" s="33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</row>
    <row r="932" spans="1:23" ht="14.5" x14ac:dyDescent="0.35">
      <c r="A932" s="217"/>
      <c r="B932" s="257"/>
      <c r="C932" s="257"/>
      <c r="D932" s="257"/>
      <c r="E932" s="337"/>
      <c r="F932" s="33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</row>
    <row r="933" spans="1:23" ht="14.5" x14ac:dyDescent="0.35">
      <c r="A933" s="217"/>
      <c r="B933" s="257"/>
      <c r="C933" s="257"/>
      <c r="D933" s="257"/>
      <c r="E933" s="337"/>
      <c r="F933" s="33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</row>
    <row r="934" spans="1:23" ht="14.5" x14ac:dyDescent="0.35">
      <c r="A934" s="217"/>
      <c r="B934" s="257"/>
      <c r="C934" s="257"/>
      <c r="D934" s="257"/>
      <c r="E934" s="337"/>
      <c r="F934" s="33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</row>
    <row r="935" spans="1:23" ht="14.5" x14ac:dyDescent="0.35">
      <c r="A935" s="217"/>
      <c r="B935" s="257"/>
      <c r="C935" s="257"/>
      <c r="D935" s="257"/>
      <c r="E935" s="337"/>
      <c r="F935" s="33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</row>
    <row r="936" spans="1:23" ht="14.5" x14ac:dyDescent="0.35">
      <c r="A936" s="217"/>
      <c r="B936" s="257"/>
      <c r="C936" s="257"/>
      <c r="D936" s="257"/>
      <c r="E936" s="337"/>
      <c r="F936" s="33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</row>
    <row r="937" spans="1:23" ht="14.5" x14ac:dyDescent="0.35">
      <c r="A937" s="217"/>
      <c r="B937" s="257"/>
      <c r="C937" s="257"/>
      <c r="D937" s="257"/>
      <c r="E937" s="337"/>
      <c r="F937" s="33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</row>
    <row r="938" spans="1:23" ht="14.5" x14ac:dyDescent="0.35">
      <c r="A938" s="217"/>
      <c r="B938" s="257"/>
      <c r="C938" s="257"/>
      <c r="D938" s="257"/>
      <c r="E938" s="337"/>
      <c r="F938" s="33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</row>
    <row r="939" spans="1:23" ht="14.5" x14ac:dyDescent="0.35">
      <c r="A939" s="217"/>
      <c r="B939" s="257"/>
      <c r="C939" s="257"/>
      <c r="D939" s="257"/>
      <c r="E939" s="337"/>
      <c r="F939" s="33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</row>
    <row r="940" spans="1:23" ht="14.5" x14ac:dyDescent="0.35">
      <c r="A940" s="217"/>
      <c r="B940" s="257"/>
      <c r="C940" s="257"/>
      <c r="D940" s="257"/>
      <c r="E940" s="337"/>
      <c r="F940" s="33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</row>
    <row r="941" spans="1:23" ht="14.5" x14ac:dyDescent="0.35">
      <c r="A941" s="217"/>
      <c r="B941" s="257"/>
      <c r="C941" s="257"/>
      <c r="D941" s="257"/>
      <c r="E941" s="337"/>
      <c r="F941" s="33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</row>
    <row r="942" spans="1:23" ht="14.5" x14ac:dyDescent="0.35">
      <c r="A942" s="217"/>
      <c r="B942" s="257"/>
      <c r="C942" s="257"/>
      <c r="D942" s="257"/>
      <c r="E942" s="337"/>
      <c r="F942" s="33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</row>
    <row r="943" spans="1:23" ht="14.5" x14ac:dyDescent="0.35">
      <c r="A943" s="217"/>
      <c r="B943" s="257"/>
      <c r="C943" s="257"/>
      <c r="D943" s="257"/>
      <c r="E943" s="337"/>
      <c r="F943" s="33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</row>
    <row r="944" spans="1:23" ht="14.5" x14ac:dyDescent="0.35">
      <c r="A944" s="217"/>
      <c r="B944" s="257"/>
      <c r="C944" s="257"/>
      <c r="D944" s="257"/>
      <c r="E944" s="337"/>
      <c r="F944" s="33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</row>
    <row r="945" spans="1:23" ht="14.5" x14ac:dyDescent="0.35">
      <c r="A945" s="217"/>
      <c r="B945" s="257"/>
      <c r="C945" s="257"/>
      <c r="D945" s="257"/>
      <c r="E945" s="337"/>
      <c r="F945" s="33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</row>
    <row r="946" spans="1:23" ht="14.5" x14ac:dyDescent="0.35">
      <c r="A946" s="217"/>
      <c r="B946" s="257"/>
      <c r="C946" s="257"/>
      <c r="D946" s="257"/>
      <c r="E946" s="337"/>
      <c r="F946" s="33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</row>
    <row r="947" spans="1:23" ht="14.5" x14ac:dyDescent="0.35">
      <c r="A947" s="217"/>
      <c r="B947" s="257"/>
      <c r="C947" s="257"/>
      <c r="D947" s="257"/>
      <c r="E947" s="337"/>
      <c r="F947" s="33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</row>
    <row r="948" spans="1:23" ht="14.5" x14ac:dyDescent="0.35">
      <c r="A948" s="217"/>
      <c r="B948" s="257"/>
      <c r="C948" s="257"/>
      <c r="D948" s="257"/>
      <c r="E948" s="337"/>
      <c r="F948" s="33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</row>
    <row r="949" spans="1:23" ht="14.5" x14ac:dyDescent="0.35">
      <c r="A949" s="217"/>
      <c r="B949" s="257"/>
      <c r="C949" s="257"/>
      <c r="D949" s="257"/>
      <c r="E949" s="337"/>
      <c r="F949" s="33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</row>
    <row r="950" spans="1:23" ht="14.5" x14ac:dyDescent="0.35">
      <c r="A950" s="217"/>
      <c r="B950" s="257"/>
      <c r="C950" s="257"/>
      <c r="D950" s="257"/>
      <c r="E950" s="337"/>
      <c r="F950" s="33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</row>
    <row r="951" spans="1:23" ht="14.5" x14ac:dyDescent="0.35">
      <c r="A951" s="217"/>
      <c r="B951" s="257"/>
      <c r="C951" s="257"/>
      <c r="D951" s="257"/>
      <c r="E951" s="337"/>
      <c r="F951" s="33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</row>
    <row r="952" spans="1:23" ht="14.5" x14ac:dyDescent="0.35">
      <c r="A952" s="217"/>
      <c r="B952" s="257"/>
      <c r="C952" s="257"/>
      <c r="D952" s="257"/>
      <c r="E952" s="337"/>
      <c r="F952" s="33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</row>
    <row r="953" spans="1:23" ht="14.5" x14ac:dyDescent="0.35">
      <c r="A953" s="217"/>
      <c r="B953" s="257"/>
      <c r="C953" s="257"/>
      <c r="D953" s="257"/>
      <c r="E953" s="337"/>
      <c r="F953" s="33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</row>
    <row r="954" spans="1:23" ht="14.5" x14ac:dyDescent="0.35">
      <c r="A954" s="217"/>
      <c r="B954" s="257"/>
      <c r="C954" s="257"/>
      <c r="D954" s="257"/>
      <c r="E954" s="337"/>
      <c r="F954" s="33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</row>
    <row r="955" spans="1:23" ht="14.5" x14ac:dyDescent="0.35">
      <c r="A955" s="217"/>
      <c r="B955" s="257"/>
      <c r="C955" s="257"/>
      <c r="D955" s="257"/>
      <c r="E955" s="337"/>
      <c r="F955" s="33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</row>
    <row r="956" spans="1:23" ht="14.5" x14ac:dyDescent="0.35">
      <c r="A956" s="217"/>
      <c r="B956" s="257"/>
      <c r="C956" s="257"/>
      <c r="D956" s="257"/>
      <c r="E956" s="337"/>
      <c r="F956" s="33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</row>
    <row r="957" spans="1:23" ht="14.5" x14ac:dyDescent="0.35">
      <c r="A957" s="217"/>
      <c r="B957" s="257"/>
      <c r="C957" s="257"/>
      <c r="D957" s="257"/>
      <c r="E957" s="337"/>
      <c r="F957" s="33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</row>
    <row r="958" spans="1:23" ht="14.5" x14ac:dyDescent="0.35">
      <c r="A958" s="217"/>
      <c r="B958" s="257"/>
      <c r="C958" s="257"/>
      <c r="D958" s="257"/>
      <c r="E958" s="337"/>
      <c r="F958" s="33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</row>
    <row r="959" spans="1:23" ht="14.5" x14ac:dyDescent="0.35">
      <c r="A959" s="217"/>
      <c r="B959" s="257"/>
      <c r="C959" s="257"/>
      <c r="D959" s="257"/>
      <c r="E959" s="337"/>
      <c r="F959" s="33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</row>
    <row r="960" spans="1:23" ht="14.5" x14ac:dyDescent="0.35">
      <c r="A960" s="217"/>
      <c r="B960" s="257"/>
      <c r="C960" s="257"/>
      <c r="D960" s="257"/>
      <c r="E960" s="337"/>
      <c r="F960" s="33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</row>
    <row r="961" spans="1:23" ht="14.5" x14ac:dyDescent="0.35">
      <c r="A961" s="217"/>
      <c r="B961" s="257"/>
      <c r="C961" s="257"/>
      <c r="D961" s="257"/>
      <c r="E961" s="337"/>
      <c r="F961" s="33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</row>
    <row r="962" spans="1:23" ht="14.5" x14ac:dyDescent="0.35">
      <c r="A962" s="217"/>
      <c r="B962" s="257"/>
      <c r="C962" s="257"/>
      <c r="D962" s="257"/>
      <c r="E962" s="337"/>
      <c r="F962" s="33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</row>
    <row r="963" spans="1:23" ht="14.5" x14ac:dyDescent="0.35">
      <c r="A963" s="217"/>
      <c r="B963" s="257"/>
      <c r="C963" s="257"/>
      <c r="D963" s="257"/>
      <c r="E963" s="337"/>
      <c r="F963" s="33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</row>
    <row r="964" spans="1:23" ht="14.5" x14ac:dyDescent="0.35">
      <c r="A964" s="217"/>
      <c r="B964" s="257"/>
      <c r="C964" s="257"/>
      <c r="D964" s="257"/>
      <c r="E964" s="337"/>
      <c r="F964" s="33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</row>
    <row r="965" spans="1:23" ht="14.5" x14ac:dyDescent="0.35">
      <c r="A965" s="217"/>
      <c r="B965" s="257"/>
      <c r="C965" s="257"/>
      <c r="D965" s="257"/>
      <c r="E965" s="337"/>
      <c r="F965" s="33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</row>
    <row r="966" spans="1:23" ht="14.5" x14ac:dyDescent="0.35">
      <c r="A966" s="217"/>
      <c r="B966" s="257"/>
      <c r="C966" s="257"/>
      <c r="D966" s="257"/>
      <c r="E966" s="337"/>
      <c r="F966" s="33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</row>
    <row r="967" spans="1:23" ht="14.5" x14ac:dyDescent="0.35">
      <c r="A967" s="217"/>
      <c r="B967" s="257"/>
      <c r="C967" s="257"/>
      <c r="D967" s="257"/>
      <c r="E967" s="337"/>
      <c r="F967" s="33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</row>
    <row r="968" spans="1:23" ht="14.5" x14ac:dyDescent="0.35">
      <c r="A968" s="217"/>
      <c r="B968" s="257"/>
      <c r="C968" s="257"/>
      <c r="D968" s="257"/>
      <c r="E968" s="337"/>
      <c r="F968" s="33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</row>
    <row r="969" spans="1:23" ht="14.5" x14ac:dyDescent="0.35">
      <c r="A969" s="217"/>
      <c r="B969" s="257"/>
      <c r="C969" s="257"/>
      <c r="D969" s="257"/>
      <c r="E969" s="337"/>
      <c r="F969" s="33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</row>
    <row r="970" spans="1:23" ht="14.5" x14ac:dyDescent="0.35">
      <c r="A970" s="217"/>
      <c r="B970" s="257"/>
      <c r="C970" s="257"/>
      <c r="D970" s="257"/>
      <c r="E970" s="337"/>
      <c r="F970" s="33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</row>
    <row r="971" spans="1:23" ht="14.5" x14ac:dyDescent="0.35">
      <c r="A971" s="217"/>
      <c r="B971" s="257"/>
      <c r="C971" s="257"/>
      <c r="D971" s="257"/>
      <c r="E971" s="337"/>
      <c r="F971" s="33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</row>
    <row r="972" spans="1:23" ht="14.5" x14ac:dyDescent="0.35">
      <c r="A972" s="217"/>
      <c r="B972" s="257"/>
      <c r="C972" s="257"/>
      <c r="D972" s="257"/>
      <c r="E972" s="337"/>
      <c r="F972" s="33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</row>
    <row r="973" spans="1:23" ht="14.5" x14ac:dyDescent="0.35">
      <c r="A973" s="217"/>
      <c r="B973" s="257"/>
      <c r="C973" s="257"/>
      <c r="D973" s="257"/>
      <c r="E973" s="337"/>
      <c r="F973" s="33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</row>
    <row r="974" spans="1:23" ht="14.5" x14ac:dyDescent="0.35">
      <c r="A974" s="217"/>
      <c r="B974" s="257"/>
      <c r="C974" s="257"/>
      <c r="D974" s="257"/>
      <c r="E974" s="337"/>
      <c r="F974" s="33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</row>
    <row r="975" spans="1:23" ht="14.5" x14ac:dyDescent="0.35">
      <c r="A975" s="217"/>
      <c r="B975" s="257"/>
      <c r="C975" s="257"/>
      <c r="D975" s="257"/>
      <c r="E975" s="337"/>
      <c r="F975" s="33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</row>
    <row r="976" spans="1:23" ht="14.5" x14ac:dyDescent="0.35">
      <c r="A976" s="217"/>
      <c r="B976" s="257"/>
      <c r="C976" s="257"/>
      <c r="D976" s="257"/>
      <c r="E976" s="337"/>
      <c r="F976" s="33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</row>
    <row r="977" spans="1:23" ht="14.5" x14ac:dyDescent="0.35">
      <c r="A977" s="217"/>
      <c r="B977" s="257"/>
      <c r="C977" s="257"/>
      <c r="D977" s="257"/>
      <c r="E977" s="337"/>
      <c r="F977" s="33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</row>
    <row r="978" spans="1:23" ht="14.5" x14ac:dyDescent="0.35">
      <c r="A978" s="217"/>
      <c r="B978" s="257"/>
      <c r="C978" s="257"/>
      <c r="D978" s="257"/>
      <c r="E978" s="337"/>
      <c r="F978" s="33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</row>
    <row r="979" spans="1:23" ht="14.5" x14ac:dyDescent="0.35">
      <c r="A979" s="217"/>
      <c r="B979" s="257"/>
      <c r="C979" s="257"/>
      <c r="D979" s="257"/>
      <c r="E979" s="337"/>
      <c r="F979" s="33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</row>
    <row r="980" spans="1:23" ht="14.5" x14ac:dyDescent="0.35">
      <c r="A980" s="217"/>
      <c r="B980" s="257"/>
      <c r="C980" s="257"/>
      <c r="D980" s="257"/>
      <c r="E980" s="337"/>
      <c r="F980" s="33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</row>
    <row r="981" spans="1:23" ht="14.5" x14ac:dyDescent="0.35">
      <c r="A981" s="217"/>
      <c r="B981" s="257"/>
      <c r="C981" s="257"/>
      <c r="D981" s="257"/>
      <c r="E981" s="337"/>
      <c r="F981" s="33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</row>
    <row r="982" spans="1:23" ht="14.5" x14ac:dyDescent="0.35">
      <c r="A982" s="217"/>
      <c r="B982" s="257"/>
      <c r="C982" s="257"/>
      <c r="D982" s="257"/>
      <c r="E982" s="337"/>
      <c r="F982" s="33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</row>
    <row r="983" spans="1:23" ht="14.5" x14ac:dyDescent="0.35">
      <c r="A983" s="217"/>
      <c r="B983" s="257"/>
      <c r="C983" s="257"/>
      <c r="D983" s="257"/>
      <c r="E983" s="337"/>
      <c r="F983" s="33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</row>
    <row r="984" spans="1:23" ht="14.5" x14ac:dyDescent="0.35">
      <c r="A984" s="217"/>
      <c r="B984" s="257"/>
      <c r="C984" s="257"/>
      <c r="D984" s="257"/>
      <c r="E984" s="337"/>
      <c r="F984" s="33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</row>
    <row r="985" spans="1:23" ht="14.5" x14ac:dyDescent="0.35">
      <c r="A985" s="217"/>
      <c r="B985" s="257"/>
      <c r="C985" s="257"/>
      <c r="D985" s="257"/>
      <c r="E985" s="337"/>
      <c r="F985" s="33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</row>
    <row r="986" spans="1:23" ht="14.5" x14ac:dyDescent="0.35">
      <c r="A986" s="217"/>
      <c r="B986" s="257"/>
      <c r="C986" s="257"/>
      <c r="D986" s="257"/>
      <c r="E986" s="337"/>
      <c r="F986" s="33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</row>
    <row r="987" spans="1:23" ht="14.5" x14ac:dyDescent="0.35">
      <c r="A987" s="217"/>
      <c r="B987" s="257"/>
      <c r="C987" s="257"/>
      <c r="D987" s="257"/>
      <c r="E987" s="337"/>
      <c r="F987" s="33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</row>
    <row r="988" spans="1:23" ht="14.5" x14ac:dyDescent="0.35">
      <c r="A988" s="217"/>
      <c r="B988" s="257"/>
      <c r="C988" s="257"/>
      <c r="D988" s="257"/>
      <c r="E988" s="337"/>
      <c r="F988" s="33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</row>
    <row r="989" spans="1:23" ht="14.5" x14ac:dyDescent="0.35">
      <c r="A989" s="217"/>
      <c r="B989" s="257"/>
      <c r="C989" s="257"/>
      <c r="D989" s="257"/>
      <c r="E989" s="337"/>
      <c r="F989" s="33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</row>
    <row r="990" spans="1:23" ht="14.5" x14ac:dyDescent="0.35">
      <c r="A990" s="217"/>
      <c r="B990" s="257"/>
      <c r="C990" s="257"/>
      <c r="D990" s="257"/>
      <c r="E990" s="337"/>
      <c r="F990" s="33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</row>
    <row r="991" spans="1:23" ht="14.5" x14ac:dyDescent="0.35">
      <c r="A991" s="217"/>
      <c r="B991" s="257"/>
      <c r="C991" s="257"/>
      <c r="D991" s="257"/>
      <c r="E991" s="337"/>
      <c r="F991" s="33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</row>
    <row r="992" spans="1:23" ht="14.5" x14ac:dyDescent="0.35">
      <c r="A992" s="217"/>
      <c r="B992" s="257"/>
      <c r="C992" s="257"/>
      <c r="D992" s="257"/>
      <c r="E992" s="337"/>
      <c r="F992" s="33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</row>
    <row r="993" spans="1:23" ht="14.5" x14ac:dyDescent="0.35">
      <c r="A993" s="217"/>
      <c r="B993" s="257"/>
      <c r="C993" s="257"/>
      <c r="D993" s="257"/>
      <c r="E993" s="337"/>
      <c r="F993" s="33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</row>
    <row r="994" spans="1:23" ht="14.5" x14ac:dyDescent="0.35">
      <c r="A994" s="217"/>
      <c r="B994" s="257"/>
      <c r="C994" s="257"/>
      <c r="D994" s="257"/>
      <c r="E994" s="337"/>
      <c r="F994" s="33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</row>
    <row r="995" spans="1:23" ht="14.5" x14ac:dyDescent="0.35">
      <c r="A995" s="217"/>
      <c r="B995" s="257"/>
      <c r="C995" s="257"/>
      <c r="D995" s="257"/>
      <c r="E995" s="337"/>
      <c r="F995" s="33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</row>
    <row r="996" spans="1:23" ht="14.5" x14ac:dyDescent="0.35">
      <c r="A996" s="217"/>
      <c r="B996" s="257"/>
      <c r="C996" s="257"/>
      <c r="D996" s="257"/>
      <c r="E996" s="337"/>
      <c r="F996" s="33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</row>
    <row r="997" spans="1:23" ht="14.5" x14ac:dyDescent="0.35">
      <c r="A997" s="217"/>
      <c r="B997" s="257"/>
      <c r="C997" s="257"/>
      <c r="D997" s="257"/>
      <c r="E997" s="337"/>
      <c r="F997" s="33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</row>
    <row r="998" spans="1:23" ht="14.5" x14ac:dyDescent="0.35">
      <c r="A998" s="217"/>
      <c r="B998" s="257"/>
      <c r="C998" s="257"/>
      <c r="D998" s="257"/>
      <c r="E998" s="337"/>
      <c r="F998" s="33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</row>
    <row r="999" spans="1:23" ht="14.5" x14ac:dyDescent="0.35">
      <c r="A999" s="217"/>
      <c r="B999" s="257"/>
      <c r="C999" s="257"/>
      <c r="D999" s="257"/>
      <c r="E999" s="337"/>
      <c r="F999" s="33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</row>
    <row r="1000" spans="1:23" ht="14.5" x14ac:dyDescent="0.35">
      <c r="A1000" s="217"/>
      <c r="B1000" s="257"/>
      <c r="C1000" s="257"/>
      <c r="D1000" s="257"/>
      <c r="E1000" s="337"/>
      <c r="F1000" s="33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</row>
    <row r="1001" spans="1:23" ht="14.5" x14ac:dyDescent="0.35">
      <c r="A1001" s="217"/>
      <c r="B1001" s="257"/>
      <c r="C1001" s="257"/>
      <c r="D1001" s="257"/>
      <c r="E1001" s="337"/>
      <c r="F1001" s="33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</row>
    <row r="1002" spans="1:23" ht="14.5" x14ac:dyDescent="0.35">
      <c r="A1002" s="217"/>
      <c r="B1002" s="257"/>
      <c r="C1002" s="257"/>
      <c r="D1002" s="257"/>
      <c r="E1002" s="337"/>
      <c r="F1002" s="33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</row>
    <row r="1003" spans="1:23" ht="14.5" x14ac:dyDescent="0.35">
      <c r="A1003" s="217"/>
      <c r="B1003" s="257"/>
      <c r="C1003" s="257"/>
      <c r="D1003" s="257"/>
      <c r="E1003" s="337"/>
      <c r="F1003" s="33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</row>
    <row r="1004" spans="1:23" ht="14.5" x14ac:dyDescent="0.35">
      <c r="A1004" s="217"/>
      <c r="B1004" s="257"/>
      <c r="C1004" s="257"/>
      <c r="D1004" s="257"/>
      <c r="E1004" s="337"/>
      <c r="F1004" s="33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</row>
    <row r="1005" spans="1:23" ht="14.5" x14ac:dyDescent="0.35">
      <c r="A1005" s="217"/>
      <c r="B1005" s="257"/>
      <c r="C1005" s="257"/>
      <c r="D1005" s="257"/>
      <c r="E1005" s="337"/>
      <c r="F1005" s="33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</row>
    <row r="1006" spans="1:23" ht="14.5" x14ac:dyDescent="0.35">
      <c r="A1006" s="217"/>
      <c r="B1006" s="257"/>
      <c r="C1006" s="257"/>
      <c r="D1006" s="257"/>
      <c r="E1006" s="337"/>
      <c r="F1006" s="33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</row>
    <row r="1007" spans="1:23" ht="14.5" x14ac:dyDescent="0.35">
      <c r="A1007" s="217"/>
      <c r="B1007" s="257"/>
      <c r="C1007" s="257"/>
      <c r="D1007" s="257"/>
      <c r="E1007" s="337"/>
      <c r="F1007" s="33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</row>
    <row r="1008" spans="1:23" ht="14.5" x14ac:dyDescent="0.35">
      <c r="A1008" s="217"/>
      <c r="B1008" s="257"/>
      <c r="C1008" s="257"/>
      <c r="D1008" s="257"/>
      <c r="E1008" s="337"/>
      <c r="F1008" s="33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</row>
    <row r="1009" spans="1:23" ht="14.5" x14ac:dyDescent="0.35">
      <c r="A1009" s="217"/>
      <c r="B1009" s="257"/>
      <c r="C1009" s="257"/>
      <c r="D1009" s="257"/>
      <c r="E1009" s="337"/>
      <c r="F1009" s="33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</row>
    <row r="1010" spans="1:23" ht="14.5" x14ac:dyDescent="0.35">
      <c r="A1010" s="217"/>
      <c r="B1010" s="257"/>
      <c r="C1010" s="257"/>
      <c r="D1010" s="257"/>
      <c r="E1010" s="337"/>
      <c r="F1010" s="33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</row>
    <row r="1011" spans="1:23" ht="14.5" x14ac:dyDescent="0.35">
      <c r="A1011" s="217"/>
      <c r="B1011" s="257"/>
      <c r="C1011" s="257"/>
      <c r="D1011" s="257"/>
      <c r="E1011" s="337"/>
      <c r="F1011" s="33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</row>
    <row r="1012" spans="1:23" ht="14.5" x14ac:dyDescent="0.35">
      <c r="A1012" s="217"/>
      <c r="B1012" s="257"/>
      <c r="C1012" s="257"/>
      <c r="D1012" s="257"/>
      <c r="E1012" s="337"/>
      <c r="F1012" s="33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</row>
    <row r="1013" spans="1:23" ht="14.5" x14ac:dyDescent="0.35">
      <c r="A1013" s="217"/>
      <c r="B1013" s="257"/>
      <c r="C1013" s="257"/>
      <c r="D1013" s="257"/>
      <c r="E1013" s="337"/>
      <c r="F1013" s="33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</row>
    <row r="1014" spans="1:23" ht="14.5" x14ac:dyDescent="0.35">
      <c r="A1014" s="217"/>
      <c r="B1014" s="257"/>
      <c r="C1014" s="257"/>
      <c r="D1014" s="257"/>
      <c r="E1014" s="337"/>
      <c r="F1014" s="33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</row>
    <row r="1015" spans="1:23" ht="14.5" x14ac:dyDescent="0.35">
      <c r="A1015" s="217"/>
      <c r="B1015" s="257"/>
      <c r="C1015" s="257"/>
      <c r="D1015" s="257"/>
      <c r="E1015" s="337"/>
      <c r="F1015" s="33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</row>
    <row r="1016" spans="1:23" ht="14.5" x14ac:dyDescent="0.35">
      <c r="A1016" s="217"/>
      <c r="B1016" s="257"/>
      <c r="C1016" s="257"/>
      <c r="D1016" s="257"/>
      <c r="E1016" s="337"/>
      <c r="F1016" s="33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</row>
    <row r="1017" spans="1:23" ht="14.5" x14ac:dyDescent="0.35">
      <c r="A1017" s="217"/>
      <c r="B1017" s="257"/>
      <c r="C1017" s="257"/>
      <c r="D1017" s="257"/>
      <c r="E1017" s="337"/>
      <c r="F1017" s="33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</row>
  </sheetData>
  <customSheetViews>
    <customSheetView guid="{106B7A88-9D1E-4D22-9DE1-7E44A908E830}" scale="130" showGridLines="0" fitToPage="1">
      <pane ySplit="1" topLeftCell="A50" activePane="bottomLeft" state="frozen"/>
      <selection pane="bottomLeft" activeCell="F58" sqref="F58"/>
      <pageMargins left="0.7" right="0.7" top="0.75" bottom="0.75" header="0.3" footer="0.3"/>
      <pageSetup paperSize="9" scale="42" fitToHeight="0" orientation="landscape" r:id="rId1"/>
    </customSheetView>
    <customSheetView guid="{CF50DB9B-0F8D-41A5-9576-F9345942CE97}" scale="90" showGridLines="0" hiddenColumns="1">
      <pane ySplit="1" topLeftCell="A2" activePane="bottomLeft" state="frozen"/>
      <selection pane="bottomLeft" activeCell="M98" sqref="M98"/>
      <pageMargins left="0.7" right="0.7" top="0.75" bottom="0.75" header="0.3" footer="0.3"/>
      <pageSetup paperSize="9" orientation="portrait" r:id="rId2"/>
    </customSheetView>
    <customSheetView guid="{B8CD8764-8103-4BA7-A294-F5FED5EA74ED}" scale="60" showGridLines="0">
      <pane ySplit="1" topLeftCell="A80" activePane="bottomLeft" state="frozen"/>
      <selection pane="bottomLeft" activeCell="D7" sqref="D7"/>
      <pageMargins left="0.7" right="0.7" top="0.75" bottom="0.75" header="0.3" footer="0.3"/>
      <pageSetup paperSize="9" orientation="portrait" r:id="rId3"/>
    </customSheetView>
    <customSheetView guid="{845F3A43-EF96-4057-9777-D2F2301CC149}" scale="130" showPageBreaks="1" showGridLines="0" fitToPage="1">
      <pane ySplit="1" topLeftCell="A50" activePane="bottomLeft" state="frozen"/>
      <selection pane="bottomLeft" activeCell="F58" sqref="F58"/>
      <pageMargins left="0.7" right="0.7" top="0.75" bottom="0.75" header="0.3" footer="0.3"/>
      <pageSetup paperSize="9" scale="42" fitToHeight="0" orientation="landscape" r:id="rId4"/>
    </customSheetView>
  </customSheetViews>
  <mergeCells count="3">
    <mergeCell ref="A1:B1"/>
    <mergeCell ref="A2:B2"/>
    <mergeCell ref="A24:B24"/>
  </mergeCells>
  <conditionalFormatting sqref="C92:F92 D103:F103">
    <cfRule type="cellIs" dxfId="3" priority="7" operator="lessThan">
      <formula>0</formula>
    </cfRule>
  </conditionalFormatting>
  <conditionalFormatting sqref="C92:F92 D103:F103">
    <cfRule type="cellIs" dxfId="2" priority="8" operator="greaterThan">
      <formula>0</formula>
    </cfRule>
  </conditionalFormatting>
  <conditionalFormatting sqref="C103">
    <cfRule type="cellIs" dxfId="1" priority="9" operator="lessThan">
      <formula>0</formula>
    </cfRule>
  </conditionalFormatting>
  <conditionalFormatting sqref="C103">
    <cfRule type="cellIs" dxfId="0" priority="10" operator="greaterThan">
      <formula>0</formula>
    </cfRule>
  </conditionalFormatting>
  <pageMargins left="0.7" right="0.7" top="0.75" bottom="0.75" header="0.3" footer="0.3"/>
  <pageSetup paperSize="9" scale="42" fitToHeight="0" orientation="landscape" r:id="rId5"/>
  <legacy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1"/>
  <sheetViews>
    <sheetView showGridLines="0" workbookViewId="0">
      <selection activeCell="E14" sqref="E14"/>
    </sheetView>
  </sheetViews>
  <sheetFormatPr baseColWidth="10" defaultColWidth="17.26953125" defaultRowHeight="15" customHeight="1" x14ac:dyDescent="0.25"/>
  <cols>
    <col min="1" max="1" width="28.26953125" customWidth="1"/>
    <col min="2" max="2" width="17.54296875" customWidth="1"/>
    <col min="3" max="12" width="12.54296875" customWidth="1"/>
    <col min="13" max="26" width="10" customWidth="1"/>
  </cols>
  <sheetData>
    <row r="1" spans="1:26" ht="15" customHeight="1" x14ac:dyDescent="0.35">
      <c r="A1" s="217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</row>
    <row r="2" spans="1:26" ht="15" customHeight="1" x14ac:dyDescent="0.35">
      <c r="A2" s="42" t="s">
        <v>553</v>
      </c>
      <c r="B2" s="71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5" customHeight="1" x14ac:dyDescent="0.35">
      <c r="A3" s="32"/>
      <c r="B3" s="66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15" customHeight="1" x14ac:dyDescent="0.35">
      <c r="A4" s="32" t="s">
        <v>273</v>
      </c>
      <c r="B4" s="66">
        <v>27000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5" customHeight="1" x14ac:dyDescent="0.35">
      <c r="A5" s="32" t="s">
        <v>60</v>
      </c>
      <c r="B5" s="66">
        <v>0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15" customHeight="1" x14ac:dyDescent="0.35">
      <c r="A6" s="29" t="s">
        <v>274</v>
      </c>
      <c r="B6" s="72">
        <f>B4-(-B5)</f>
        <v>27000</v>
      </c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5" customHeight="1" x14ac:dyDescent="0.35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5" customHeight="1" x14ac:dyDescent="0.35">
      <c r="A8" s="42" t="s">
        <v>554</v>
      </c>
      <c r="B8" s="71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</row>
    <row r="9" spans="1:26" ht="15" customHeight="1" x14ac:dyDescent="0.35">
      <c r="A9" s="32"/>
      <c r="B9" s="66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</row>
    <row r="10" spans="1:26" ht="15" customHeight="1" x14ac:dyDescent="0.35">
      <c r="A10" s="32" t="s">
        <v>74</v>
      </c>
      <c r="B10" s="73">
        <f>-Program!H5</f>
        <v>21650</v>
      </c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</row>
    <row r="11" spans="1:26" ht="15" customHeight="1" x14ac:dyDescent="0.35">
      <c r="A11" s="32" t="s">
        <v>112</v>
      </c>
      <c r="B11" s="66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5" customHeight="1" x14ac:dyDescent="0.35">
      <c r="A12" s="32" t="s">
        <v>113</v>
      </c>
      <c r="B12" s="73">
        <v>0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5" customHeight="1" x14ac:dyDescent="0.35">
      <c r="A13" s="32" t="s">
        <v>114</v>
      </c>
      <c r="B13" s="73">
        <v>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5" customHeight="1" x14ac:dyDescent="0.35">
      <c r="A14" s="46" t="s">
        <v>115</v>
      </c>
      <c r="B14" s="69">
        <v>0</v>
      </c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5" customHeight="1" x14ac:dyDescent="0.35">
      <c r="A15" s="46" t="s">
        <v>78</v>
      </c>
      <c r="B15" s="69">
        <v>0</v>
      </c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s="301" customFormat="1" ht="15" customHeight="1" x14ac:dyDescent="0.35">
      <c r="A16" s="46" t="s">
        <v>565</v>
      </c>
      <c r="B16" s="69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</row>
    <row r="17" spans="1:26" ht="15" customHeight="1" x14ac:dyDescent="0.35">
      <c r="A17" s="29" t="s">
        <v>116</v>
      </c>
      <c r="B17" s="72">
        <f>SUM(B10:B15)</f>
        <v>21650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</row>
    <row r="18" spans="1:26" ht="15" customHeight="1" x14ac:dyDescent="0.35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5" customHeight="1" x14ac:dyDescent="0.35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15" customHeight="1" x14ac:dyDescent="0.35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5" customHeight="1" x14ac:dyDescent="0.35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</row>
    <row r="22" spans="1:26" ht="14.5" x14ac:dyDescent="0.35">
      <c r="A22" s="217"/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</row>
    <row r="23" spans="1:26" ht="14.5" x14ac:dyDescent="0.35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4.5" x14ac:dyDescent="0.35">
      <c r="A24" s="217"/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</row>
    <row r="25" spans="1:26" ht="14.5" x14ac:dyDescent="0.35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</row>
    <row r="26" spans="1:26" ht="14.5" x14ac:dyDescent="0.35">
      <c r="A26" s="217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4.5" x14ac:dyDescent="0.35">
      <c r="A27" s="217"/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</row>
    <row r="28" spans="1:26" ht="14.5" x14ac:dyDescent="0.35">
      <c r="A28" s="217"/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</row>
    <row r="29" spans="1:26" ht="14.5" x14ac:dyDescent="0.35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4.5" x14ac:dyDescent="0.3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</row>
    <row r="31" spans="1:26" ht="14.5" x14ac:dyDescent="0.35">
      <c r="A31" s="217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</row>
    <row r="32" spans="1:26" ht="14.5" x14ac:dyDescent="0.3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</row>
    <row r="33" spans="1:26" ht="14.5" x14ac:dyDescent="0.3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26" ht="14.5" x14ac:dyDescent="0.35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</row>
    <row r="35" spans="1:26" ht="14.5" x14ac:dyDescent="0.3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</row>
    <row r="36" spans="1:26" ht="14.5" x14ac:dyDescent="0.35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</row>
    <row r="37" spans="1:26" ht="14.5" x14ac:dyDescent="0.35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</row>
    <row r="38" spans="1:26" ht="14.5" x14ac:dyDescent="0.35">
      <c r="A38" s="217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</row>
    <row r="39" spans="1:26" ht="14.5" x14ac:dyDescent="0.3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</row>
    <row r="40" spans="1:26" ht="14.5" x14ac:dyDescent="0.3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4.5" x14ac:dyDescent="0.3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14.5" x14ac:dyDescent="0.3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14.5" x14ac:dyDescent="0.3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4.5" x14ac:dyDescent="0.3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4.5" x14ac:dyDescent="0.3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4.5" x14ac:dyDescent="0.3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4.5" x14ac:dyDescent="0.3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4.5" x14ac:dyDescent="0.3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4.5" x14ac:dyDescent="0.3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</row>
    <row r="50" spans="1:26" ht="14.5" x14ac:dyDescent="0.3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</row>
    <row r="51" spans="1:26" ht="14.5" x14ac:dyDescent="0.35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</row>
    <row r="52" spans="1:26" ht="14.5" x14ac:dyDescent="0.35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</row>
    <row r="53" spans="1:26" ht="14.5" x14ac:dyDescent="0.35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</row>
    <row r="54" spans="1:26" ht="14.5" x14ac:dyDescent="0.35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</row>
    <row r="55" spans="1:26" ht="14.5" x14ac:dyDescent="0.35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</row>
    <row r="56" spans="1:26" ht="14.5" x14ac:dyDescent="0.3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</row>
    <row r="57" spans="1:26" ht="14.5" x14ac:dyDescent="0.3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4.5" x14ac:dyDescent="0.3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4.5" x14ac:dyDescent="0.3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4.5" x14ac:dyDescent="0.35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</row>
    <row r="61" spans="1:26" ht="14.5" x14ac:dyDescent="0.35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4.5" x14ac:dyDescent="0.35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ht="14.5" x14ac:dyDescent="0.35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4.5" x14ac:dyDescent="0.35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ht="14.5" x14ac:dyDescent="0.35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4.5" x14ac:dyDescent="0.35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</row>
    <row r="67" spans="1:26" ht="14.5" x14ac:dyDescent="0.35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ht="14.5" x14ac:dyDescent="0.35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ht="14.5" x14ac:dyDescent="0.35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ht="14.5" x14ac:dyDescent="0.35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4.5" x14ac:dyDescent="0.35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4.5" x14ac:dyDescent="0.35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4.5" x14ac:dyDescent="0.35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</row>
    <row r="74" spans="1:26" ht="14.5" x14ac:dyDescent="0.3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4.5" x14ac:dyDescent="0.35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</row>
    <row r="76" spans="1:26" ht="14.5" x14ac:dyDescent="0.35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</row>
    <row r="77" spans="1:26" ht="14.5" x14ac:dyDescent="0.35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</row>
    <row r="78" spans="1:26" ht="14.5" x14ac:dyDescent="0.35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</row>
    <row r="79" spans="1:26" ht="14.5" x14ac:dyDescent="0.35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</row>
    <row r="80" spans="1:26" ht="14.5" x14ac:dyDescent="0.35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</row>
    <row r="81" spans="1:26" ht="14.5" x14ac:dyDescent="0.35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</row>
    <row r="82" spans="1:26" ht="14.5" x14ac:dyDescent="0.35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</row>
    <row r="83" spans="1:26" ht="14.5" x14ac:dyDescent="0.35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</row>
    <row r="84" spans="1:26" ht="14.5" x14ac:dyDescent="0.35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</row>
    <row r="85" spans="1:26" ht="14.5" x14ac:dyDescent="0.35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</row>
    <row r="86" spans="1:26" ht="14.5" x14ac:dyDescent="0.35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</row>
    <row r="87" spans="1:26" ht="14.5" x14ac:dyDescent="0.35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</row>
    <row r="88" spans="1:26" ht="14.5" x14ac:dyDescent="0.35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</row>
    <row r="89" spans="1:26" ht="14.5" x14ac:dyDescent="0.35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</row>
    <row r="90" spans="1:26" ht="14.5" x14ac:dyDescent="0.35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</row>
    <row r="91" spans="1:26" ht="14.5" x14ac:dyDescent="0.35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</row>
    <row r="92" spans="1:26" ht="14.5" x14ac:dyDescent="0.35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</row>
    <row r="93" spans="1:26" ht="14.5" x14ac:dyDescent="0.35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</row>
    <row r="94" spans="1:26" ht="14.5" x14ac:dyDescent="0.35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</row>
    <row r="95" spans="1:26" ht="14.5" x14ac:dyDescent="0.35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</row>
    <row r="96" spans="1:26" ht="14.5" x14ac:dyDescent="0.35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</row>
    <row r="97" spans="1:26" ht="14.5" x14ac:dyDescent="0.35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</row>
    <row r="98" spans="1:26" ht="14.5" x14ac:dyDescent="0.35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</row>
    <row r="99" spans="1:26" ht="14.5" x14ac:dyDescent="0.35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</row>
    <row r="100" spans="1:26" ht="14.5" x14ac:dyDescent="0.35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</row>
    <row r="101" spans="1:26" ht="14.5" x14ac:dyDescent="0.35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</row>
    <row r="102" spans="1:26" ht="14.5" x14ac:dyDescent="0.35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</row>
    <row r="103" spans="1:26" ht="14.5" x14ac:dyDescent="0.35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</row>
    <row r="104" spans="1:26" ht="14.5" x14ac:dyDescent="0.35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</row>
    <row r="105" spans="1:26" ht="14.5" x14ac:dyDescent="0.35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</row>
    <row r="106" spans="1:26" ht="14.5" x14ac:dyDescent="0.35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</row>
    <row r="107" spans="1:26" ht="14.5" x14ac:dyDescent="0.35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</row>
    <row r="108" spans="1:26" ht="14.5" x14ac:dyDescent="0.35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</row>
    <row r="109" spans="1:26" ht="14.5" x14ac:dyDescent="0.35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</row>
    <row r="110" spans="1:26" ht="14.5" x14ac:dyDescent="0.35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</row>
    <row r="111" spans="1:26" ht="14.5" x14ac:dyDescent="0.35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</row>
    <row r="112" spans="1:26" ht="14.5" x14ac:dyDescent="0.35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</row>
    <row r="113" spans="1:26" ht="14.5" x14ac:dyDescent="0.35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</row>
    <row r="114" spans="1:26" ht="14.5" x14ac:dyDescent="0.35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</row>
    <row r="115" spans="1:26" ht="14.5" x14ac:dyDescent="0.35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</row>
    <row r="116" spans="1:26" ht="14.5" x14ac:dyDescent="0.35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</row>
    <row r="117" spans="1:26" ht="14.5" x14ac:dyDescent="0.35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</row>
    <row r="118" spans="1:26" ht="14.5" x14ac:dyDescent="0.35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</row>
    <row r="119" spans="1:26" ht="14.5" x14ac:dyDescent="0.35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</row>
    <row r="120" spans="1:26" ht="14.5" x14ac:dyDescent="0.35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</row>
    <row r="121" spans="1:26" ht="14.5" x14ac:dyDescent="0.35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</row>
    <row r="122" spans="1:26" ht="14.5" x14ac:dyDescent="0.35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</row>
    <row r="123" spans="1:26" ht="14.5" x14ac:dyDescent="0.35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</row>
    <row r="124" spans="1:26" ht="14.5" x14ac:dyDescent="0.35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</row>
    <row r="125" spans="1:26" ht="14.5" x14ac:dyDescent="0.35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</row>
    <row r="126" spans="1:26" ht="14.5" x14ac:dyDescent="0.35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</row>
    <row r="127" spans="1:26" ht="14.5" x14ac:dyDescent="0.35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</row>
    <row r="128" spans="1:26" ht="14.5" x14ac:dyDescent="0.35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</row>
    <row r="129" spans="1:26" ht="14.5" x14ac:dyDescent="0.35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</row>
    <row r="130" spans="1:26" ht="14.5" x14ac:dyDescent="0.35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</row>
    <row r="131" spans="1:26" ht="14.5" x14ac:dyDescent="0.35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</row>
    <row r="132" spans="1:26" ht="14.5" x14ac:dyDescent="0.35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</row>
    <row r="133" spans="1:26" ht="14.5" x14ac:dyDescent="0.35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</row>
    <row r="134" spans="1:26" ht="14.5" x14ac:dyDescent="0.35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</row>
    <row r="135" spans="1:26" ht="14.5" x14ac:dyDescent="0.35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</row>
    <row r="136" spans="1:26" ht="14.5" x14ac:dyDescent="0.35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</row>
    <row r="137" spans="1:26" ht="14.5" x14ac:dyDescent="0.35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</row>
    <row r="138" spans="1:26" ht="14.5" x14ac:dyDescent="0.35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</row>
    <row r="139" spans="1:26" ht="14.5" x14ac:dyDescent="0.35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</row>
    <row r="140" spans="1:26" ht="14.5" x14ac:dyDescent="0.35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</row>
    <row r="141" spans="1:26" ht="14.5" x14ac:dyDescent="0.35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</row>
    <row r="142" spans="1:26" ht="14.5" x14ac:dyDescent="0.35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</row>
    <row r="143" spans="1:26" ht="14.5" x14ac:dyDescent="0.35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</row>
    <row r="144" spans="1:26" ht="14.5" x14ac:dyDescent="0.35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</row>
    <row r="145" spans="1:26" ht="14.5" x14ac:dyDescent="0.35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</row>
    <row r="146" spans="1:26" ht="14.5" x14ac:dyDescent="0.35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</row>
    <row r="147" spans="1:26" ht="14.5" x14ac:dyDescent="0.35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</row>
    <row r="148" spans="1:26" ht="14.5" x14ac:dyDescent="0.35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4.5" x14ac:dyDescent="0.35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</row>
    <row r="150" spans="1:26" ht="14.5" x14ac:dyDescent="0.35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</row>
    <row r="151" spans="1:26" ht="14.5" x14ac:dyDescent="0.35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</row>
    <row r="152" spans="1:26" ht="14.5" x14ac:dyDescent="0.35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</row>
    <row r="153" spans="1:26" ht="14.5" x14ac:dyDescent="0.35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</row>
    <row r="154" spans="1:26" ht="14.5" x14ac:dyDescent="0.35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</row>
    <row r="155" spans="1:26" ht="14.5" x14ac:dyDescent="0.35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</row>
    <row r="156" spans="1:26" ht="14.5" x14ac:dyDescent="0.35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</row>
    <row r="157" spans="1:26" ht="14.5" x14ac:dyDescent="0.35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</row>
    <row r="158" spans="1:26" ht="14.5" x14ac:dyDescent="0.35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</row>
    <row r="159" spans="1:26" ht="14.5" x14ac:dyDescent="0.35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</row>
    <row r="160" spans="1:26" ht="14.5" x14ac:dyDescent="0.35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</row>
    <row r="161" spans="1:26" ht="14.5" x14ac:dyDescent="0.35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</row>
    <row r="162" spans="1:26" ht="14.5" x14ac:dyDescent="0.35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</row>
    <row r="163" spans="1:26" ht="14.5" x14ac:dyDescent="0.35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</row>
    <row r="164" spans="1:26" ht="14.5" x14ac:dyDescent="0.35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</row>
    <row r="165" spans="1:26" ht="14.5" x14ac:dyDescent="0.35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</row>
    <row r="166" spans="1:26" ht="14.5" x14ac:dyDescent="0.35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</row>
    <row r="167" spans="1:26" ht="14.5" x14ac:dyDescent="0.35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</row>
    <row r="168" spans="1:26" ht="14.5" x14ac:dyDescent="0.35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</row>
    <row r="169" spans="1:26" ht="14.5" x14ac:dyDescent="0.35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</row>
    <row r="170" spans="1:26" ht="14.5" x14ac:dyDescent="0.35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</row>
    <row r="171" spans="1:26" ht="14.5" x14ac:dyDescent="0.35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</row>
    <row r="172" spans="1:26" ht="14.5" x14ac:dyDescent="0.35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</row>
    <row r="173" spans="1:26" ht="14.5" x14ac:dyDescent="0.35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</row>
    <row r="174" spans="1:26" ht="14.5" x14ac:dyDescent="0.35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</row>
    <row r="175" spans="1:26" ht="14.5" x14ac:dyDescent="0.35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</row>
    <row r="176" spans="1:26" ht="14.5" x14ac:dyDescent="0.35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</row>
    <row r="177" spans="1:26" ht="14.5" x14ac:dyDescent="0.35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</row>
    <row r="178" spans="1:26" ht="14.5" x14ac:dyDescent="0.35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</row>
    <row r="179" spans="1:26" ht="14.5" x14ac:dyDescent="0.35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</row>
    <row r="180" spans="1:26" ht="14.5" x14ac:dyDescent="0.35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</row>
    <row r="181" spans="1:26" ht="14.5" x14ac:dyDescent="0.35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</row>
    <row r="182" spans="1:26" ht="14.5" x14ac:dyDescent="0.35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</row>
    <row r="183" spans="1:26" ht="14.5" x14ac:dyDescent="0.35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</row>
    <row r="184" spans="1:26" ht="14.5" x14ac:dyDescent="0.35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</row>
    <row r="185" spans="1:26" ht="14.5" x14ac:dyDescent="0.35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</row>
    <row r="186" spans="1:26" ht="14.5" x14ac:dyDescent="0.35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</row>
    <row r="187" spans="1:26" ht="14.5" x14ac:dyDescent="0.35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</row>
    <row r="188" spans="1:26" ht="14.5" x14ac:dyDescent="0.35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</row>
    <row r="189" spans="1:26" ht="14.5" x14ac:dyDescent="0.35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</row>
    <row r="190" spans="1:26" ht="14.5" x14ac:dyDescent="0.35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</row>
    <row r="191" spans="1:26" ht="14.5" x14ac:dyDescent="0.35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</row>
    <row r="192" spans="1:26" ht="14.5" x14ac:dyDescent="0.35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</row>
    <row r="193" spans="1:26" ht="14.5" x14ac:dyDescent="0.35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</row>
    <row r="194" spans="1:26" ht="14.5" x14ac:dyDescent="0.35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</row>
    <row r="195" spans="1:26" ht="14.5" x14ac:dyDescent="0.35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</row>
    <row r="196" spans="1:26" ht="14.5" x14ac:dyDescent="0.35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</row>
    <row r="197" spans="1:26" ht="14.5" x14ac:dyDescent="0.35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</row>
    <row r="198" spans="1:26" ht="14.5" x14ac:dyDescent="0.35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</row>
    <row r="199" spans="1:26" ht="14.5" x14ac:dyDescent="0.35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</row>
    <row r="200" spans="1:26" ht="14.5" x14ac:dyDescent="0.35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</row>
    <row r="201" spans="1:26" ht="14.5" x14ac:dyDescent="0.35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</row>
    <row r="202" spans="1:26" ht="14.5" x14ac:dyDescent="0.35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</row>
    <row r="203" spans="1:26" ht="14.5" x14ac:dyDescent="0.35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</row>
    <row r="204" spans="1:26" ht="14.5" x14ac:dyDescent="0.35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</row>
    <row r="205" spans="1:26" ht="14.5" x14ac:dyDescent="0.35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</row>
    <row r="206" spans="1:26" ht="14.5" x14ac:dyDescent="0.35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</row>
    <row r="207" spans="1:26" ht="14.5" x14ac:dyDescent="0.35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</row>
    <row r="208" spans="1:26" ht="14.5" x14ac:dyDescent="0.35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</row>
    <row r="209" spans="1:26" ht="14.5" x14ac:dyDescent="0.35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</row>
    <row r="210" spans="1:26" ht="14.5" x14ac:dyDescent="0.35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</row>
    <row r="211" spans="1:26" ht="14.5" x14ac:dyDescent="0.35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</row>
    <row r="212" spans="1:26" ht="14.5" x14ac:dyDescent="0.35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</row>
    <row r="213" spans="1:26" ht="14.5" x14ac:dyDescent="0.35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</row>
    <row r="214" spans="1:26" ht="14.5" x14ac:dyDescent="0.35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</row>
    <row r="215" spans="1:26" ht="14.5" x14ac:dyDescent="0.35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</row>
    <row r="216" spans="1:26" ht="14.5" x14ac:dyDescent="0.35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</row>
    <row r="217" spans="1:26" ht="14.5" x14ac:dyDescent="0.35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</row>
    <row r="218" spans="1:26" ht="14.5" x14ac:dyDescent="0.35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</row>
    <row r="219" spans="1:26" ht="14.5" x14ac:dyDescent="0.35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</row>
    <row r="220" spans="1:26" ht="14.5" x14ac:dyDescent="0.35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</row>
    <row r="221" spans="1:26" ht="14.5" x14ac:dyDescent="0.35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</row>
    <row r="222" spans="1:26" ht="14.5" x14ac:dyDescent="0.35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</row>
    <row r="223" spans="1:26" ht="14.5" x14ac:dyDescent="0.35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</row>
    <row r="224" spans="1:26" ht="14.5" x14ac:dyDescent="0.35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</row>
    <row r="225" spans="1:26" ht="14.5" x14ac:dyDescent="0.35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</row>
    <row r="226" spans="1:26" ht="14.5" x14ac:dyDescent="0.35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</row>
    <row r="227" spans="1:26" ht="14.5" x14ac:dyDescent="0.35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</row>
    <row r="228" spans="1:26" ht="14.5" x14ac:dyDescent="0.35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</row>
    <row r="229" spans="1:26" ht="14.5" x14ac:dyDescent="0.35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</row>
    <row r="230" spans="1:26" ht="14.5" x14ac:dyDescent="0.35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</row>
    <row r="231" spans="1:26" ht="14.5" x14ac:dyDescent="0.35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</row>
    <row r="232" spans="1:26" ht="14.5" x14ac:dyDescent="0.35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</row>
    <row r="233" spans="1:26" ht="14.5" x14ac:dyDescent="0.35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</row>
    <row r="234" spans="1:26" ht="14.5" x14ac:dyDescent="0.35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</row>
    <row r="235" spans="1:26" ht="14.5" x14ac:dyDescent="0.35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</row>
    <row r="236" spans="1:26" ht="14.5" x14ac:dyDescent="0.35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</row>
    <row r="237" spans="1:26" ht="14.5" x14ac:dyDescent="0.35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</row>
    <row r="238" spans="1:26" ht="14.5" x14ac:dyDescent="0.35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</row>
    <row r="239" spans="1:26" ht="14.5" x14ac:dyDescent="0.3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</row>
    <row r="240" spans="1:26" ht="14.5" x14ac:dyDescent="0.35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</row>
    <row r="241" spans="1:26" ht="14.5" x14ac:dyDescent="0.35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</row>
    <row r="242" spans="1:26" ht="14.5" x14ac:dyDescent="0.35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</row>
    <row r="243" spans="1:26" ht="14.5" x14ac:dyDescent="0.35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</row>
    <row r="244" spans="1:26" ht="14.5" x14ac:dyDescent="0.35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</row>
    <row r="245" spans="1:26" ht="14.5" x14ac:dyDescent="0.35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</row>
    <row r="246" spans="1:26" ht="14.5" x14ac:dyDescent="0.35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</row>
    <row r="247" spans="1:26" ht="14.5" x14ac:dyDescent="0.35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</row>
    <row r="248" spans="1:26" ht="14.5" x14ac:dyDescent="0.35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</row>
    <row r="249" spans="1:26" ht="14.5" x14ac:dyDescent="0.35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</row>
    <row r="250" spans="1:26" ht="14.5" x14ac:dyDescent="0.35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</row>
    <row r="251" spans="1:26" ht="14.5" x14ac:dyDescent="0.35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</row>
    <row r="252" spans="1:26" ht="14.5" x14ac:dyDescent="0.35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</row>
    <row r="253" spans="1:26" ht="14.5" x14ac:dyDescent="0.35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</row>
    <row r="254" spans="1:26" ht="14.5" x14ac:dyDescent="0.35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</row>
    <row r="255" spans="1:26" ht="14.5" x14ac:dyDescent="0.35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</row>
    <row r="256" spans="1:26" ht="14.5" x14ac:dyDescent="0.35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</row>
    <row r="257" spans="1:26" ht="14.5" x14ac:dyDescent="0.35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</row>
    <row r="258" spans="1:26" ht="14.5" x14ac:dyDescent="0.35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</row>
    <row r="259" spans="1:26" ht="14.5" x14ac:dyDescent="0.35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</row>
    <row r="260" spans="1:26" ht="14.5" x14ac:dyDescent="0.35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</row>
    <row r="261" spans="1:26" ht="14.5" x14ac:dyDescent="0.35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</row>
    <row r="262" spans="1:26" ht="14.5" x14ac:dyDescent="0.35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</row>
    <row r="263" spans="1:26" ht="14.5" x14ac:dyDescent="0.35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</row>
    <row r="264" spans="1:26" ht="14.5" x14ac:dyDescent="0.35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</row>
    <row r="265" spans="1:26" ht="14.5" x14ac:dyDescent="0.35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</row>
    <row r="266" spans="1:26" ht="14.5" x14ac:dyDescent="0.35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</row>
    <row r="267" spans="1:26" ht="14.5" x14ac:dyDescent="0.35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</row>
    <row r="268" spans="1:26" ht="14.5" x14ac:dyDescent="0.35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</row>
    <row r="269" spans="1:26" ht="14.5" x14ac:dyDescent="0.35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</row>
    <row r="270" spans="1:26" ht="14.5" x14ac:dyDescent="0.35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</row>
    <row r="271" spans="1:26" ht="14.5" x14ac:dyDescent="0.35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</row>
    <row r="272" spans="1:26" ht="14.5" x14ac:dyDescent="0.35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</row>
    <row r="273" spans="1:26" ht="14.5" x14ac:dyDescent="0.35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</row>
    <row r="274" spans="1:26" ht="14.5" x14ac:dyDescent="0.35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</row>
    <row r="275" spans="1:26" ht="14.5" x14ac:dyDescent="0.35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</row>
    <row r="276" spans="1:26" ht="14.5" x14ac:dyDescent="0.35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</row>
    <row r="277" spans="1:26" ht="14.5" x14ac:dyDescent="0.35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</row>
    <row r="278" spans="1:26" ht="14.5" x14ac:dyDescent="0.35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</row>
    <row r="279" spans="1:26" ht="14.5" x14ac:dyDescent="0.35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</row>
    <row r="280" spans="1:26" ht="14.5" x14ac:dyDescent="0.35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</row>
    <row r="281" spans="1:26" ht="14.5" x14ac:dyDescent="0.35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</row>
    <row r="282" spans="1:26" ht="14.5" x14ac:dyDescent="0.35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</row>
    <row r="283" spans="1:26" ht="14.5" x14ac:dyDescent="0.35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</row>
    <row r="284" spans="1:26" ht="14.5" x14ac:dyDescent="0.35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</row>
    <row r="285" spans="1:26" ht="14.5" x14ac:dyDescent="0.35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</row>
    <row r="286" spans="1:26" ht="14.5" x14ac:dyDescent="0.35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</row>
    <row r="287" spans="1:26" ht="14.5" x14ac:dyDescent="0.35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</row>
    <row r="288" spans="1:26" ht="14.5" x14ac:dyDescent="0.35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</row>
    <row r="289" spans="1:26" ht="14.5" x14ac:dyDescent="0.35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</row>
    <row r="290" spans="1:26" ht="14.5" x14ac:dyDescent="0.35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</row>
    <row r="291" spans="1:26" ht="14.5" x14ac:dyDescent="0.35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</row>
    <row r="292" spans="1:26" ht="14.5" x14ac:dyDescent="0.35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</row>
    <row r="293" spans="1:26" ht="14.5" x14ac:dyDescent="0.35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</row>
    <row r="294" spans="1:26" ht="14.5" x14ac:dyDescent="0.35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</row>
    <row r="295" spans="1:26" ht="14.5" x14ac:dyDescent="0.35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</row>
    <row r="296" spans="1:26" ht="14.5" x14ac:dyDescent="0.35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</row>
    <row r="297" spans="1:26" ht="14.5" x14ac:dyDescent="0.35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</row>
    <row r="298" spans="1:26" ht="14.5" x14ac:dyDescent="0.35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</row>
    <row r="299" spans="1:26" ht="14.5" x14ac:dyDescent="0.35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</row>
    <row r="300" spans="1:26" ht="14.5" x14ac:dyDescent="0.35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</row>
    <row r="301" spans="1:26" ht="14.5" x14ac:dyDescent="0.35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</row>
    <row r="302" spans="1:26" ht="14.5" x14ac:dyDescent="0.35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</row>
    <row r="303" spans="1:26" ht="14.5" x14ac:dyDescent="0.35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</row>
    <row r="304" spans="1:26" ht="14.5" x14ac:dyDescent="0.35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</row>
    <row r="305" spans="1:26" ht="14.5" x14ac:dyDescent="0.35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</row>
    <row r="306" spans="1:26" ht="14.5" x14ac:dyDescent="0.35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</row>
    <row r="307" spans="1:26" ht="14.5" x14ac:dyDescent="0.35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</row>
    <row r="308" spans="1:26" ht="14.5" x14ac:dyDescent="0.35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</row>
    <row r="309" spans="1:26" ht="14.5" x14ac:dyDescent="0.35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</row>
    <row r="310" spans="1:26" ht="14.5" x14ac:dyDescent="0.35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</row>
    <row r="311" spans="1:26" ht="14.5" x14ac:dyDescent="0.35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</row>
    <row r="312" spans="1:26" ht="14.5" x14ac:dyDescent="0.35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</row>
    <row r="313" spans="1:26" ht="14.5" x14ac:dyDescent="0.35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</row>
    <row r="314" spans="1:26" ht="14.5" x14ac:dyDescent="0.35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</row>
    <row r="315" spans="1:26" ht="14.5" x14ac:dyDescent="0.35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</row>
    <row r="316" spans="1:26" ht="14.5" x14ac:dyDescent="0.35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</row>
    <row r="317" spans="1:26" ht="14.5" x14ac:dyDescent="0.35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</row>
    <row r="318" spans="1:26" ht="14.5" x14ac:dyDescent="0.35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</row>
    <row r="319" spans="1:26" ht="14.5" x14ac:dyDescent="0.35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</row>
    <row r="320" spans="1:26" ht="14.5" x14ac:dyDescent="0.35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</row>
    <row r="321" spans="1:26" ht="14.5" x14ac:dyDescent="0.35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</row>
    <row r="322" spans="1:26" ht="14.5" x14ac:dyDescent="0.35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</row>
    <row r="323" spans="1:26" ht="14.5" x14ac:dyDescent="0.35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</row>
    <row r="324" spans="1:26" ht="14.5" x14ac:dyDescent="0.35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</row>
    <row r="325" spans="1:26" ht="14.5" x14ac:dyDescent="0.35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</row>
    <row r="326" spans="1:26" ht="14.5" x14ac:dyDescent="0.35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</row>
    <row r="327" spans="1:26" ht="14.5" x14ac:dyDescent="0.35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</row>
    <row r="328" spans="1:26" ht="14.5" x14ac:dyDescent="0.35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</row>
    <row r="329" spans="1:26" ht="14.5" x14ac:dyDescent="0.35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</row>
    <row r="330" spans="1:26" ht="14.5" x14ac:dyDescent="0.35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</row>
    <row r="331" spans="1:26" ht="14.5" x14ac:dyDescent="0.35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</row>
    <row r="332" spans="1:26" ht="14.5" x14ac:dyDescent="0.35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</row>
    <row r="333" spans="1:26" ht="14.5" x14ac:dyDescent="0.35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</row>
    <row r="334" spans="1:26" ht="14.5" x14ac:dyDescent="0.35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</row>
    <row r="335" spans="1:26" ht="14.5" x14ac:dyDescent="0.35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</row>
    <row r="336" spans="1:26" ht="14.5" x14ac:dyDescent="0.35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</row>
    <row r="337" spans="1:26" ht="14.5" x14ac:dyDescent="0.35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</row>
    <row r="338" spans="1:26" ht="14.5" x14ac:dyDescent="0.35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</row>
    <row r="339" spans="1:26" ht="14.5" x14ac:dyDescent="0.35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</row>
    <row r="340" spans="1:26" ht="14.5" x14ac:dyDescent="0.35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</row>
    <row r="341" spans="1:26" ht="14.5" x14ac:dyDescent="0.35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</row>
    <row r="342" spans="1:26" ht="14.5" x14ac:dyDescent="0.35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</row>
    <row r="343" spans="1:26" ht="14.5" x14ac:dyDescent="0.35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</row>
    <row r="344" spans="1:26" ht="14.5" x14ac:dyDescent="0.35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</row>
    <row r="345" spans="1:26" ht="14.5" x14ac:dyDescent="0.35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</row>
    <row r="346" spans="1:26" ht="14.5" x14ac:dyDescent="0.35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</row>
    <row r="347" spans="1:26" ht="14.5" x14ac:dyDescent="0.35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</row>
    <row r="348" spans="1:26" ht="14.5" x14ac:dyDescent="0.35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</row>
    <row r="349" spans="1:26" ht="14.5" x14ac:dyDescent="0.35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</row>
    <row r="350" spans="1:26" ht="14.5" x14ac:dyDescent="0.35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</row>
    <row r="351" spans="1:26" ht="14.5" x14ac:dyDescent="0.35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</row>
    <row r="352" spans="1:26" ht="14.5" x14ac:dyDescent="0.35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</row>
    <row r="353" spans="1:26" ht="14.5" x14ac:dyDescent="0.35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</row>
    <row r="354" spans="1:26" ht="14.5" x14ac:dyDescent="0.35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</row>
    <row r="355" spans="1:26" ht="14.5" x14ac:dyDescent="0.35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</row>
    <row r="356" spans="1:26" ht="14.5" x14ac:dyDescent="0.35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</row>
    <row r="357" spans="1:26" ht="14.5" x14ac:dyDescent="0.35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</row>
    <row r="358" spans="1:26" ht="14.5" x14ac:dyDescent="0.35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</row>
    <row r="359" spans="1:26" ht="14.5" x14ac:dyDescent="0.35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</row>
    <row r="360" spans="1:26" ht="14.5" x14ac:dyDescent="0.35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</row>
    <row r="361" spans="1:26" ht="14.5" x14ac:dyDescent="0.35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</row>
    <row r="362" spans="1:26" ht="14.5" x14ac:dyDescent="0.35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</row>
    <row r="363" spans="1:26" ht="14.5" x14ac:dyDescent="0.35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</row>
    <row r="364" spans="1:26" ht="14.5" x14ac:dyDescent="0.35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</row>
    <row r="365" spans="1:26" ht="14.5" x14ac:dyDescent="0.35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</row>
    <row r="366" spans="1:26" ht="14.5" x14ac:dyDescent="0.3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</row>
    <row r="367" spans="1:26" ht="14.5" x14ac:dyDescent="0.35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</row>
    <row r="368" spans="1:26" ht="14.5" x14ac:dyDescent="0.35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</row>
    <row r="369" spans="1:26" ht="14.5" x14ac:dyDescent="0.35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</row>
    <row r="370" spans="1:26" ht="14.5" x14ac:dyDescent="0.35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</row>
    <row r="371" spans="1:26" ht="14.5" x14ac:dyDescent="0.35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</row>
    <row r="372" spans="1:26" ht="14.5" x14ac:dyDescent="0.35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</row>
    <row r="373" spans="1:26" ht="14.5" x14ac:dyDescent="0.35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</row>
    <row r="374" spans="1:26" ht="14.5" x14ac:dyDescent="0.35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</row>
    <row r="375" spans="1:26" ht="14.5" x14ac:dyDescent="0.35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</row>
    <row r="376" spans="1:26" ht="14.5" x14ac:dyDescent="0.35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</row>
    <row r="377" spans="1:26" ht="14.5" x14ac:dyDescent="0.35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</row>
    <row r="378" spans="1:26" ht="14.5" x14ac:dyDescent="0.35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</row>
    <row r="379" spans="1:26" ht="14.5" x14ac:dyDescent="0.35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</row>
    <row r="380" spans="1:26" ht="14.5" x14ac:dyDescent="0.35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</row>
    <row r="381" spans="1:26" ht="14.5" x14ac:dyDescent="0.35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</row>
    <row r="382" spans="1:26" ht="14.5" x14ac:dyDescent="0.35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</row>
    <row r="383" spans="1:26" ht="14.5" x14ac:dyDescent="0.35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</row>
    <row r="384" spans="1:26" ht="14.5" x14ac:dyDescent="0.35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</row>
    <row r="385" spans="1:26" ht="14.5" x14ac:dyDescent="0.35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</row>
    <row r="386" spans="1:26" ht="14.5" x14ac:dyDescent="0.35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</row>
    <row r="387" spans="1:26" ht="14.5" x14ac:dyDescent="0.35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</row>
    <row r="388" spans="1:26" ht="14.5" x14ac:dyDescent="0.35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</row>
    <row r="389" spans="1:26" ht="14.5" x14ac:dyDescent="0.35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</row>
    <row r="390" spans="1:26" ht="14.5" x14ac:dyDescent="0.35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</row>
    <row r="391" spans="1:26" ht="14.5" x14ac:dyDescent="0.35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</row>
    <row r="392" spans="1:26" ht="14.5" x14ac:dyDescent="0.35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</row>
    <row r="393" spans="1:26" ht="14.5" x14ac:dyDescent="0.35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</row>
    <row r="394" spans="1:26" ht="14.5" x14ac:dyDescent="0.35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</row>
    <row r="395" spans="1:26" ht="14.5" x14ac:dyDescent="0.35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</row>
    <row r="396" spans="1:26" ht="14.5" x14ac:dyDescent="0.35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</row>
    <row r="397" spans="1:26" ht="14.5" x14ac:dyDescent="0.35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</row>
    <row r="398" spans="1:26" ht="14.5" x14ac:dyDescent="0.35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</row>
    <row r="399" spans="1:26" ht="14.5" x14ac:dyDescent="0.35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</row>
    <row r="400" spans="1:26" ht="14.5" x14ac:dyDescent="0.35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</row>
    <row r="401" spans="1:26" ht="14.5" x14ac:dyDescent="0.35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</row>
    <row r="402" spans="1:26" ht="14.5" x14ac:dyDescent="0.35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</row>
    <row r="403" spans="1:26" ht="14.5" x14ac:dyDescent="0.35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</row>
    <row r="404" spans="1:26" ht="14.5" x14ac:dyDescent="0.35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</row>
    <row r="405" spans="1:26" ht="14.5" x14ac:dyDescent="0.35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</row>
    <row r="406" spans="1:26" ht="14.5" x14ac:dyDescent="0.35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</row>
    <row r="407" spans="1:26" ht="14.5" x14ac:dyDescent="0.35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</row>
    <row r="408" spans="1:26" ht="14.5" x14ac:dyDescent="0.35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</row>
    <row r="409" spans="1:26" ht="14.5" x14ac:dyDescent="0.35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</row>
    <row r="410" spans="1:26" ht="14.5" x14ac:dyDescent="0.35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</row>
    <row r="411" spans="1:26" ht="14.5" x14ac:dyDescent="0.35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</row>
    <row r="412" spans="1:26" ht="14.5" x14ac:dyDescent="0.35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</row>
    <row r="413" spans="1:26" ht="14.5" x14ac:dyDescent="0.35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</row>
    <row r="414" spans="1:26" ht="14.5" x14ac:dyDescent="0.35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</row>
    <row r="415" spans="1:26" ht="14.5" x14ac:dyDescent="0.35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</row>
    <row r="416" spans="1:26" ht="14.5" x14ac:dyDescent="0.35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</row>
    <row r="417" spans="1:26" ht="14.5" x14ac:dyDescent="0.35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</row>
    <row r="418" spans="1:26" ht="14.5" x14ac:dyDescent="0.35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</row>
    <row r="419" spans="1:26" ht="14.5" x14ac:dyDescent="0.35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</row>
    <row r="420" spans="1:26" ht="14.5" x14ac:dyDescent="0.35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</row>
    <row r="421" spans="1:26" ht="14.5" x14ac:dyDescent="0.35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</row>
    <row r="422" spans="1:26" ht="14.5" x14ac:dyDescent="0.35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</row>
    <row r="423" spans="1:26" ht="14.5" x14ac:dyDescent="0.35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</row>
    <row r="424" spans="1:26" ht="14.5" x14ac:dyDescent="0.35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</row>
    <row r="425" spans="1:26" ht="14.5" x14ac:dyDescent="0.35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</row>
    <row r="426" spans="1:26" ht="14.5" x14ac:dyDescent="0.35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</row>
    <row r="427" spans="1:26" ht="14.5" x14ac:dyDescent="0.35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</row>
    <row r="428" spans="1:26" ht="14.5" x14ac:dyDescent="0.35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</row>
    <row r="429" spans="1:26" ht="14.5" x14ac:dyDescent="0.35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</row>
    <row r="430" spans="1:26" ht="14.5" x14ac:dyDescent="0.35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</row>
    <row r="431" spans="1:26" ht="14.5" x14ac:dyDescent="0.35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</row>
    <row r="432" spans="1:26" ht="14.5" x14ac:dyDescent="0.35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</row>
    <row r="433" spans="1:26" ht="14.5" x14ac:dyDescent="0.35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</row>
    <row r="434" spans="1:26" ht="14.5" x14ac:dyDescent="0.35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</row>
    <row r="435" spans="1:26" ht="14.5" x14ac:dyDescent="0.35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</row>
    <row r="436" spans="1:26" ht="14.5" x14ac:dyDescent="0.35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</row>
    <row r="437" spans="1:26" ht="14.5" x14ac:dyDescent="0.35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</row>
    <row r="438" spans="1:26" ht="14.5" x14ac:dyDescent="0.35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</row>
    <row r="439" spans="1:26" ht="14.5" x14ac:dyDescent="0.35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</row>
    <row r="440" spans="1:26" ht="14.5" x14ac:dyDescent="0.35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</row>
    <row r="441" spans="1:26" ht="14.5" x14ac:dyDescent="0.35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</row>
    <row r="442" spans="1:26" ht="14.5" x14ac:dyDescent="0.35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</row>
    <row r="443" spans="1:26" ht="14.5" x14ac:dyDescent="0.35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</row>
    <row r="444" spans="1:26" ht="14.5" x14ac:dyDescent="0.35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</row>
    <row r="445" spans="1:26" ht="14.5" x14ac:dyDescent="0.35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</row>
    <row r="446" spans="1:26" ht="14.5" x14ac:dyDescent="0.35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</row>
    <row r="447" spans="1:26" ht="14.5" x14ac:dyDescent="0.35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</row>
    <row r="448" spans="1:26" ht="14.5" x14ac:dyDescent="0.35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</row>
    <row r="449" spans="1:26" ht="14.5" x14ac:dyDescent="0.35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</row>
    <row r="450" spans="1:26" ht="14.5" x14ac:dyDescent="0.35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</row>
    <row r="451" spans="1:26" ht="14.5" x14ac:dyDescent="0.35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</row>
    <row r="452" spans="1:26" ht="14.5" x14ac:dyDescent="0.35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</row>
    <row r="453" spans="1:26" ht="14.5" x14ac:dyDescent="0.35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</row>
    <row r="454" spans="1:26" ht="14.5" x14ac:dyDescent="0.35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</row>
    <row r="455" spans="1:26" ht="14.5" x14ac:dyDescent="0.35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</row>
    <row r="456" spans="1:26" ht="14.5" x14ac:dyDescent="0.35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</row>
    <row r="457" spans="1:26" ht="14.5" x14ac:dyDescent="0.35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</row>
    <row r="458" spans="1:26" ht="14.5" x14ac:dyDescent="0.35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</row>
    <row r="459" spans="1:26" ht="14.5" x14ac:dyDescent="0.35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</row>
    <row r="460" spans="1:26" ht="14.5" x14ac:dyDescent="0.35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</row>
    <row r="461" spans="1:26" ht="14.5" x14ac:dyDescent="0.35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</row>
    <row r="462" spans="1:26" ht="14.5" x14ac:dyDescent="0.3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</row>
    <row r="463" spans="1:26" ht="14.5" x14ac:dyDescent="0.3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</row>
    <row r="464" spans="1:26" ht="14.5" x14ac:dyDescent="0.3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</row>
    <row r="465" spans="1:26" ht="14.5" x14ac:dyDescent="0.3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</row>
    <row r="466" spans="1:26" ht="14.5" x14ac:dyDescent="0.3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</row>
    <row r="467" spans="1:26" ht="14.5" x14ac:dyDescent="0.3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</row>
    <row r="468" spans="1:26" ht="14.5" x14ac:dyDescent="0.3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</row>
    <row r="469" spans="1:26" ht="14.5" x14ac:dyDescent="0.3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</row>
    <row r="470" spans="1:26" ht="14.5" x14ac:dyDescent="0.3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</row>
    <row r="471" spans="1:26" ht="14.5" x14ac:dyDescent="0.3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</row>
    <row r="472" spans="1:26" ht="14.5" x14ac:dyDescent="0.3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</row>
    <row r="473" spans="1:26" ht="14.5" x14ac:dyDescent="0.35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</row>
    <row r="474" spans="1:26" ht="14.5" x14ac:dyDescent="0.35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</row>
    <row r="475" spans="1:26" ht="14.5" x14ac:dyDescent="0.35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</row>
    <row r="476" spans="1:26" ht="14.5" x14ac:dyDescent="0.3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</row>
    <row r="477" spans="1:26" ht="14.5" x14ac:dyDescent="0.3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</row>
    <row r="478" spans="1:26" ht="14.5" x14ac:dyDescent="0.3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</row>
    <row r="479" spans="1:26" ht="14.5" x14ac:dyDescent="0.35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</row>
    <row r="480" spans="1:26" ht="14.5" x14ac:dyDescent="0.35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</row>
    <row r="481" spans="1:26" ht="14.5" x14ac:dyDescent="0.35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</row>
    <row r="482" spans="1:26" ht="14.5" x14ac:dyDescent="0.3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</row>
    <row r="483" spans="1:26" ht="14.5" x14ac:dyDescent="0.3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</row>
    <row r="484" spans="1:26" ht="14.5" x14ac:dyDescent="0.3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</row>
    <row r="485" spans="1:26" ht="14.5" x14ac:dyDescent="0.35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</row>
    <row r="486" spans="1:26" ht="14.5" x14ac:dyDescent="0.35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</row>
    <row r="487" spans="1:26" ht="14.5" x14ac:dyDescent="0.35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</row>
    <row r="488" spans="1:26" ht="14.5" x14ac:dyDescent="0.3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</row>
    <row r="489" spans="1:26" ht="14.5" x14ac:dyDescent="0.3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</row>
    <row r="490" spans="1:26" ht="14.5" x14ac:dyDescent="0.3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</row>
    <row r="491" spans="1:26" ht="14.5" x14ac:dyDescent="0.35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</row>
    <row r="492" spans="1:26" ht="14.5" x14ac:dyDescent="0.35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</row>
    <row r="493" spans="1:26" ht="14.5" x14ac:dyDescent="0.3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</row>
    <row r="494" spans="1:26" ht="14.5" x14ac:dyDescent="0.3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</row>
    <row r="495" spans="1:26" ht="14.5" x14ac:dyDescent="0.35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</row>
    <row r="496" spans="1:26" ht="14.5" x14ac:dyDescent="0.3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</row>
    <row r="497" spans="1:26" ht="14.5" x14ac:dyDescent="0.35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</row>
    <row r="498" spans="1:26" ht="14.5" x14ac:dyDescent="0.3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</row>
    <row r="499" spans="1:26" ht="14.5" x14ac:dyDescent="0.35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</row>
    <row r="500" spans="1:26" ht="14.5" x14ac:dyDescent="0.3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</row>
    <row r="501" spans="1:26" ht="14.5" x14ac:dyDescent="0.3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</row>
    <row r="502" spans="1:26" ht="14.5" x14ac:dyDescent="0.3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</row>
    <row r="503" spans="1:26" ht="14.5" x14ac:dyDescent="0.35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</row>
    <row r="504" spans="1:26" ht="14.5" x14ac:dyDescent="0.35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</row>
    <row r="505" spans="1:26" ht="14.5" x14ac:dyDescent="0.35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</row>
    <row r="506" spans="1:26" ht="14.5" x14ac:dyDescent="0.3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</row>
    <row r="507" spans="1:26" ht="14.5" x14ac:dyDescent="0.3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</row>
    <row r="508" spans="1:26" ht="14.5" x14ac:dyDescent="0.3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</row>
    <row r="509" spans="1:26" ht="14.5" x14ac:dyDescent="0.35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</row>
    <row r="510" spans="1:26" ht="14.5" x14ac:dyDescent="0.35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</row>
    <row r="511" spans="1:26" ht="14.5" x14ac:dyDescent="0.35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</row>
    <row r="512" spans="1:26" ht="14.5" x14ac:dyDescent="0.3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</row>
    <row r="513" spans="1:26" ht="14.5" x14ac:dyDescent="0.3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</row>
    <row r="514" spans="1:26" ht="14.5" x14ac:dyDescent="0.3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</row>
    <row r="515" spans="1:26" ht="14.5" x14ac:dyDescent="0.35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</row>
    <row r="516" spans="1:26" ht="14.5" x14ac:dyDescent="0.35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</row>
    <row r="517" spans="1:26" ht="14.5" x14ac:dyDescent="0.35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</row>
    <row r="518" spans="1:26" ht="14.5" x14ac:dyDescent="0.3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</row>
    <row r="519" spans="1:26" ht="14.5" x14ac:dyDescent="0.3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</row>
    <row r="520" spans="1:26" ht="14.5" x14ac:dyDescent="0.3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</row>
    <row r="521" spans="1:26" ht="14.5" x14ac:dyDescent="0.35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</row>
    <row r="522" spans="1:26" ht="14.5" x14ac:dyDescent="0.35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</row>
    <row r="523" spans="1:26" ht="14.5" x14ac:dyDescent="0.35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</row>
    <row r="524" spans="1:26" ht="14.5" x14ac:dyDescent="0.3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</row>
    <row r="525" spans="1:26" ht="14.5" x14ac:dyDescent="0.3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</row>
    <row r="526" spans="1:26" ht="14.5" x14ac:dyDescent="0.3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</row>
    <row r="527" spans="1:26" ht="14.5" x14ac:dyDescent="0.35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</row>
    <row r="528" spans="1:26" ht="14.5" x14ac:dyDescent="0.35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</row>
    <row r="529" spans="1:26" ht="14.5" x14ac:dyDescent="0.35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</row>
    <row r="530" spans="1:26" ht="14.5" x14ac:dyDescent="0.35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</row>
    <row r="531" spans="1:26" ht="14.5" x14ac:dyDescent="0.35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</row>
    <row r="532" spans="1:26" ht="14.5" x14ac:dyDescent="0.35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</row>
    <row r="533" spans="1:26" ht="14.5" x14ac:dyDescent="0.35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</row>
    <row r="534" spans="1:26" ht="14.5" x14ac:dyDescent="0.35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</row>
    <row r="535" spans="1:26" ht="14.5" x14ac:dyDescent="0.35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</row>
    <row r="536" spans="1:26" ht="14.5" x14ac:dyDescent="0.35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</row>
    <row r="537" spans="1:26" ht="14.5" x14ac:dyDescent="0.35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</row>
    <row r="538" spans="1:26" ht="14.5" x14ac:dyDescent="0.35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</row>
    <row r="539" spans="1:26" ht="14.5" x14ac:dyDescent="0.35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</row>
    <row r="540" spans="1:26" ht="14.5" x14ac:dyDescent="0.35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</row>
    <row r="541" spans="1:26" ht="14.5" x14ac:dyDescent="0.35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</row>
    <row r="542" spans="1:26" ht="14.5" x14ac:dyDescent="0.35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</row>
    <row r="543" spans="1:26" ht="14.5" x14ac:dyDescent="0.35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</row>
    <row r="544" spans="1:26" ht="14.5" x14ac:dyDescent="0.35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</row>
    <row r="545" spans="1:26" ht="14.5" x14ac:dyDescent="0.3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</row>
    <row r="546" spans="1:26" ht="14.5" x14ac:dyDescent="0.3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</row>
    <row r="547" spans="1:26" ht="14.5" x14ac:dyDescent="0.3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</row>
    <row r="548" spans="1:26" ht="14.5" x14ac:dyDescent="0.3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</row>
    <row r="549" spans="1:26" ht="14.5" x14ac:dyDescent="0.3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</row>
    <row r="550" spans="1:26" ht="14.5" x14ac:dyDescent="0.3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</row>
    <row r="551" spans="1:26" ht="14.5" x14ac:dyDescent="0.3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</row>
    <row r="552" spans="1:26" ht="14.5" x14ac:dyDescent="0.3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</row>
    <row r="553" spans="1:26" ht="14.5" x14ac:dyDescent="0.3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</row>
    <row r="554" spans="1:26" ht="14.5" x14ac:dyDescent="0.3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</row>
    <row r="555" spans="1:26" ht="14.5" x14ac:dyDescent="0.3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</row>
    <row r="556" spans="1:26" ht="14.5" x14ac:dyDescent="0.3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</row>
    <row r="557" spans="1:26" ht="14.5" x14ac:dyDescent="0.3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</row>
    <row r="558" spans="1:26" ht="14.5" x14ac:dyDescent="0.3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</row>
    <row r="559" spans="1:26" ht="14.5" x14ac:dyDescent="0.3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</row>
    <row r="560" spans="1:26" ht="14.5" x14ac:dyDescent="0.3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</row>
    <row r="561" spans="1:26" ht="14.5" x14ac:dyDescent="0.3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</row>
    <row r="562" spans="1:26" ht="14.5" x14ac:dyDescent="0.3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</row>
    <row r="563" spans="1:26" ht="14.5" x14ac:dyDescent="0.3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</row>
    <row r="564" spans="1:26" ht="14.5" x14ac:dyDescent="0.3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</row>
    <row r="565" spans="1:26" ht="14.5" x14ac:dyDescent="0.3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</row>
    <row r="566" spans="1:26" ht="14.5" x14ac:dyDescent="0.3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</row>
    <row r="567" spans="1:26" ht="14.5" x14ac:dyDescent="0.3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</row>
    <row r="568" spans="1:26" ht="14.5" x14ac:dyDescent="0.3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</row>
    <row r="569" spans="1:26" ht="14.5" x14ac:dyDescent="0.3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</row>
    <row r="570" spans="1:26" ht="14.5" x14ac:dyDescent="0.3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</row>
    <row r="571" spans="1:26" ht="14.5" x14ac:dyDescent="0.3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</row>
    <row r="572" spans="1:26" ht="14.5" x14ac:dyDescent="0.3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</row>
    <row r="573" spans="1:26" ht="14.5" x14ac:dyDescent="0.3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</row>
    <row r="574" spans="1:26" ht="14.5" x14ac:dyDescent="0.3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</row>
    <row r="575" spans="1:26" ht="14.5" x14ac:dyDescent="0.3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</row>
    <row r="576" spans="1:26" ht="14.5" x14ac:dyDescent="0.3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</row>
    <row r="577" spans="1:26" ht="14.5" x14ac:dyDescent="0.3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</row>
    <row r="578" spans="1:26" ht="14.5" x14ac:dyDescent="0.3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</row>
    <row r="579" spans="1:26" ht="14.5" x14ac:dyDescent="0.3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</row>
    <row r="580" spans="1:26" ht="14.5" x14ac:dyDescent="0.3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</row>
    <row r="581" spans="1:26" ht="14.5" x14ac:dyDescent="0.3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</row>
    <row r="582" spans="1:26" ht="14.5" x14ac:dyDescent="0.3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</row>
    <row r="583" spans="1:26" ht="14.5" x14ac:dyDescent="0.3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</row>
    <row r="584" spans="1:26" ht="14.5" x14ac:dyDescent="0.3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</row>
    <row r="585" spans="1:26" ht="14.5" x14ac:dyDescent="0.3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</row>
    <row r="586" spans="1:26" ht="14.5" x14ac:dyDescent="0.3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</row>
    <row r="587" spans="1:26" ht="14.5" x14ac:dyDescent="0.3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</row>
    <row r="588" spans="1:26" ht="14.5" x14ac:dyDescent="0.3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</row>
    <row r="589" spans="1:26" ht="14.5" x14ac:dyDescent="0.3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</row>
    <row r="590" spans="1:26" ht="14.5" x14ac:dyDescent="0.3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</row>
    <row r="591" spans="1:26" ht="14.5" x14ac:dyDescent="0.3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</row>
    <row r="592" spans="1:26" ht="14.5" x14ac:dyDescent="0.3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</row>
    <row r="593" spans="1:26" ht="14.5" x14ac:dyDescent="0.3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</row>
    <row r="594" spans="1:26" ht="14.5" x14ac:dyDescent="0.3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</row>
    <row r="595" spans="1:26" ht="14.5" x14ac:dyDescent="0.3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</row>
    <row r="596" spans="1:26" ht="14.5" x14ac:dyDescent="0.3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</row>
    <row r="597" spans="1:26" ht="14.5" x14ac:dyDescent="0.3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</row>
    <row r="598" spans="1:26" ht="14.5" x14ac:dyDescent="0.3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</row>
    <row r="599" spans="1:26" ht="14.5" x14ac:dyDescent="0.3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</row>
    <row r="600" spans="1:26" ht="14.5" x14ac:dyDescent="0.35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</row>
    <row r="601" spans="1:26" ht="14.5" x14ac:dyDescent="0.35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</row>
    <row r="602" spans="1:26" ht="14.5" x14ac:dyDescent="0.35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</row>
    <row r="603" spans="1:26" ht="14.5" x14ac:dyDescent="0.35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</row>
    <row r="604" spans="1:26" ht="14.5" x14ac:dyDescent="0.35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</row>
    <row r="605" spans="1:26" ht="14.5" x14ac:dyDescent="0.35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</row>
    <row r="606" spans="1:26" ht="14.5" x14ac:dyDescent="0.35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</row>
    <row r="607" spans="1:26" ht="14.5" x14ac:dyDescent="0.35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</row>
    <row r="608" spans="1:26" ht="14.5" x14ac:dyDescent="0.35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</row>
    <row r="609" spans="1:26" ht="14.5" x14ac:dyDescent="0.35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</row>
    <row r="610" spans="1:26" ht="14.5" x14ac:dyDescent="0.35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</row>
    <row r="611" spans="1:26" ht="14.5" x14ac:dyDescent="0.35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</row>
    <row r="612" spans="1:26" ht="14.5" x14ac:dyDescent="0.35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</row>
    <row r="613" spans="1:26" ht="14.5" x14ac:dyDescent="0.35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</row>
    <row r="614" spans="1:26" ht="14.5" x14ac:dyDescent="0.35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</row>
    <row r="615" spans="1:26" ht="14.5" x14ac:dyDescent="0.3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</row>
    <row r="616" spans="1:26" ht="14.5" x14ac:dyDescent="0.3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</row>
    <row r="617" spans="1:26" ht="14.5" x14ac:dyDescent="0.3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</row>
    <row r="618" spans="1:26" ht="14.5" x14ac:dyDescent="0.3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</row>
    <row r="619" spans="1:26" ht="14.5" x14ac:dyDescent="0.3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</row>
    <row r="620" spans="1:26" ht="14.5" x14ac:dyDescent="0.3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</row>
    <row r="621" spans="1:26" ht="14.5" x14ac:dyDescent="0.3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</row>
    <row r="622" spans="1:26" ht="14.5" x14ac:dyDescent="0.3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</row>
    <row r="623" spans="1:26" ht="14.5" x14ac:dyDescent="0.3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</row>
    <row r="624" spans="1:26" ht="14.5" x14ac:dyDescent="0.3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</row>
    <row r="625" spans="1:26" ht="14.5" x14ac:dyDescent="0.3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</row>
    <row r="626" spans="1:26" ht="14.5" x14ac:dyDescent="0.3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</row>
    <row r="627" spans="1:26" ht="14.5" x14ac:dyDescent="0.3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</row>
    <row r="628" spans="1:26" ht="14.5" x14ac:dyDescent="0.3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</row>
    <row r="629" spans="1:26" ht="14.5" x14ac:dyDescent="0.3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</row>
    <row r="630" spans="1:26" ht="14.5" x14ac:dyDescent="0.3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</row>
    <row r="631" spans="1:26" ht="14.5" x14ac:dyDescent="0.3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</row>
    <row r="632" spans="1:26" ht="14.5" x14ac:dyDescent="0.3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</row>
    <row r="633" spans="1:26" ht="14.5" x14ac:dyDescent="0.3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</row>
    <row r="634" spans="1:26" ht="14.5" x14ac:dyDescent="0.3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</row>
    <row r="635" spans="1:26" ht="14.5" x14ac:dyDescent="0.3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</row>
    <row r="636" spans="1:26" ht="14.5" x14ac:dyDescent="0.3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</row>
    <row r="637" spans="1:26" ht="14.5" x14ac:dyDescent="0.3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</row>
    <row r="638" spans="1:26" ht="14.5" x14ac:dyDescent="0.3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</row>
    <row r="639" spans="1:26" ht="14.5" x14ac:dyDescent="0.3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</row>
    <row r="640" spans="1:26" ht="14.5" x14ac:dyDescent="0.3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</row>
    <row r="641" spans="1:26" ht="14.5" x14ac:dyDescent="0.3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</row>
    <row r="642" spans="1:26" ht="14.5" x14ac:dyDescent="0.3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</row>
    <row r="643" spans="1:26" ht="14.5" x14ac:dyDescent="0.3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</row>
    <row r="644" spans="1:26" ht="14.5" x14ac:dyDescent="0.3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</row>
    <row r="645" spans="1:26" ht="14.5" x14ac:dyDescent="0.3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</row>
    <row r="646" spans="1:26" ht="14.5" x14ac:dyDescent="0.3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</row>
    <row r="647" spans="1:26" ht="14.5" x14ac:dyDescent="0.3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</row>
    <row r="648" spans="1:26" ht="14.5" x14ac:dyDescent="0.3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</row>
    <row r="649" spans="1:26" ht="14.5" x14ac:dyDescent="0.3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</row>
    <row r="650" spans="1:26" ht="14.5" x14ac:dyDescent="0.3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</row>
    <row r="651" spans="1:26" ht="14.5" x14ac:dyDescent="0.35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</row>
    <row r="652" spans="1:26" ht="14.5" x14ac:dyDescent="0.35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</row>
    <row r="653" spans="1:26" ht="14.5" x14ac:dyDescent="0.35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</row>
    <row r="654" spans="1:26" ht="14.5" x14ac:dyDescent="0.35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</row>
    <row r="655" spans="1:26" ht="14.5" x14ac:dyDescent="0.35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</row>
    <row r="656" spans="1:26" ht="14.5" x14ac:dyDescent="0.35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</row>
    <row r="657" spans="1:26" ht="14.5" x14ac:dyDescent="0.35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</row>
    <row r="658" spans="1:26" ht="14.5" x14ac:dyDescent="0.35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</row>
    <row r="659" spans="1:26" ht="14.5" x14ac:dyDescent="0.35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</row>
    <row r="660" spans="1:26" ht="14.5" x14ac:dyDescent="0.35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</row>
    <row r="661" spans="1:26" ht="14.5" x14ac:dyDescent="0.35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</row>
    <row r="662" spans="1:26" ht="14.5" x14ac:dyDescent="0.35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</row>
    <row r="663" spans="1:26" ht="14.5" x14ac:dyDescent="0.35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</row>
    <row r="664" spans="1:26" ht="14.5" x14ac:dyDescent="0.35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</row>
    <row r="665" spans="1:26" ht="14.5" x14ac:dyDescent="0.35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</row>
    <row r="666" spans="1:26" ht="14.5" x14ac:dyDescent="0.35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</row>
    <row r="667" spans="1:26" ht="14.5" x14ac:dyDescent="0.35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</row>
    <row r="668" spans="1:26" ht="14.5" x14ac:dyDescent="0.35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</row>
    <row r="669" spans="1:26" ht="14.5" x14ac:dyDescent="0.35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</row>
    <row r="670" spans="1:26" ht="14.5" x14ac:dyDescent="0.35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</row>
    <row r="671" spans="1:26" ht="14.5" x14ac:dyDescent="0.35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</row>
    <row r="672" spans="1:26" ht="14.5" x14ac:dyDescent="0.3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</row>
    <row r="673" spans="1:26" ht="14.5" x14ac:dyDescent="0.3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</row>
    <row r="674" spans="1:26" ht="14.5" x14ac:dyDescent="0.3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</row>
    <row r="675" spans="1:26" ht="14.5" x14ac:dyDescent="0.3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</row>
    <row r="676" spans="1:26" ht="14.5" x14ac:dyDescent="0.3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</row>
    <row r="677" spans="1:26" ht="14.5" x14ac:dyDescent="0.3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</row>
    <row r="678" spans="1:26" ht="14.5" x14ac:dyDescent="0.3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</row>
    <row r="679" spans="1:26" ht="14.5" x14ac:dyDescent="0.3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</row>
    <row r="680" spans="1:26" ht="14.5" x14ac:dyDescent="0.3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</row>
    <row r="681" spans="1:26" ht="14.5" x14ac:dyDescent="0.3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</row>
    <row r="682" spans="1:26" ht="14.5" x14ac:dyDescent="0.3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</row>
    <row r="683" spans="1:26" ht="14.5" x14ac:dyDescent="0.3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</row>
    <row r="684" spans="1:26" ht="14.5" x14ac:dyDescent="0.3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</row>
    <row r="685" spans="1:26" ht="14.5" x14ac:dyDescent="0.3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</row>
    <row r="686" spans="1:26" ht="14.5" x14ac:dyDescent="0.3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</row>
    <row r="687" spans="1:26" ht="14.5" x14ac:dyDescent="0.3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</row>
    <row r="688" spans="1:26" ht="14.5" x14ac:dyDescent="0.3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</row>
    <row r="689" spans="1:26" ht="14.5" x14ac:dyDescent="0.3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</row>
    <row r="690" spans="1:26" ht="14.5" x14ac:dyDescent="0.3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</row>
    <row r="691" spans="1:26" ht="14.5" x14ac:dyDescent="0.3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</row>
    <row r="692" spans="1:26" ht="14.5" x14ac:dyDescent="0.3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</row>
    <row r="693" spans="1:26" ht="14.5" x14ac:dyDescent="0.3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</row>
    <row r="694" spans="1:26" ht="14.5" x14ac:dyDescent="0.3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</row>
    <row r="695" spans="1:26" ht="14.5" x14ac:dyDescent="0.3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</row>
    <row r="696" spans="1:26" ht="14.5" x14ac:dyDescent="0.3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</row>
    <row r="697" spans="1:26" ht="14.5" x14ac:dyDescent="0.3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</row>
    <row r="698" spans="1:26" ht="14.5" x14ac:dyDescent="0.3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</row>
    <row r="699" spans="1:26" ht="14.5" x14ac:dyDescent="0.3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</row>
    <row r="700" spans="1:26" ht="14.5" x14ac:dyDescent="0.3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</row>
    <row r="701" spans="1:26" ht="14.5" x14ac:dyDescent="0.3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</row>
    <row r="702" spans="1:26" ht="14.5" x14ac:dyDescent="0.3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</row>
    <row r="703" spans="1:26" ht="14.5" x14ac:dyDescent="0.3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</row>
    <row r="704" spans="1:26" ht="14.5" x14ac:dyDescent="0.3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</row>
    <row r="705" spans="1:26" ht="14.5" x14ac:dyDescent="0.3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</row>
    <row r="706" spans="1:26" ht="14.5" x14ac:dyDescent="0.3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</row>
    <row r="707" spans="1:26" ht="14.5" x14ac:dyDescent="0.3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</row>
    <row r="708" spans="1:26" ht="14.5" x14ac:dyDescent="0.3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</row>
    <row r="709" spans="1:26" ht="14.5" x14ac:dyDescent="0.3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</row>
    <row r="710" spans="1:26" ht="14.5" x14ac:dyDescent="0.3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</row>
    <row r="711" spans="1:26" ht="14.5" x14ac:dyDescent="0.3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</row>
    <row r="712" spans="1:26" ht="14.5" x14ac:dyDescent="0.3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</row>
    <row r="713" spans="1:26" ht="14.5" x14ac:dyDescent="0.3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</row>
    <row r="714" spans="1:26" ht="14.5" x14ac:dyDescent="0.3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</row>
    <row r="715" spans="1:26" ht="14.5" x14ac:dyDescent="0.3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</row>
    <row r="716" spans="1:26" ht="14.5" x14ac:dyDescent="0.3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</row>
    <row r="717" spans="1:26" ht="14.5" x14ac:dyDescent="0.3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</row>
    <row r="718" spans="1:26" ht="14.5" x14ac:dyDescent="0.3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</row>
    <row r="719" spans="1:26" ht="14.5" x14ac:dyDescent="0.3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</row>
    <row r="720" spans="1:26" ht="14.5" x14ac:dyDescent="0.3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</row>
    <row r="721" spans="1:26" ht="14.5" x14ac:dyDescent="0.3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</row>
    <row r="722" spans="1:26" ht="14.5" x14ac:dyDescent="0.3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</row>
    <row r="723" spans="1:26" ht="14.5" x14ac:dyDescent="0.3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</row>
    <row r="724" spans="1:26" ht="14.5" x14ac:dyDescent="0.3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</row>
    <row r="725" spans="1:26" ht="14.5" x14ac:dyDescent="0.3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</row>
    <row r="726" spans="1:26" ht="14.5" x14ac:dyDescent="0.3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</row>
    <row r="727" spans="1:26" ht="14.5" x14ac:dyDescent="0.3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</row>
    <row r="728" spans="1:26" ht="14.5" x14ac:dyDescent="0.3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</row>
    <row r="729" spans="1:26" ht="14.5" x14ac:dyDescent="0.3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</row>
    <row r="730" spans="1:26" ht="14.5" x14ac:dyDescent="0.3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</row>
    <row r="731" spans="1:26" ht="14.5" x14ac:dyDescent="0.3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</row>
    <row r="732" spans="1:26" ht="14.5" x14ac:dyDescent="0.3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</row>
    <row r="733" spans="1:26" ht="14.5" x14ac:dyDescent="0.3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</row>
    <row r="734" spans="1:26" ht="14.5" x14ac:dyDescent="0.3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</row>
    <row r="735" spans="1:26" ht="14.5" x14ac:dyDescent="0.3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</row>
    <row r="736" spans="1:26" ht="14.5" x14ac:dyDescent="0.3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</row>
    <row r="737" spans="1:26" ht="14.5" x14ac:dyDescent="0.3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</row>
    <row r="738" spans="1:26" ht="14.5" x14ac:dyDescent="0.3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</row>
    <row r="739" spans="1:26" ht="14.5" x14ac:dyDescent="0.3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</row>
    <row r="740" spans="1:26" ht="14.5" x14ac:dyDescent="0.3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</row>
    <row r="741" spans="1:26" ht="14.5" x14ac:dyDescent="0.3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</row>
    <row r="742" spans="1:26" ht="14.5" x14ac:dyDescent="0.3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</row>
    <row r="743" spans="1:26" ht="14.5" x14ac:dyDescent="0.35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</row>
    <row r="744" spans="1:26" ht="14.5" x14ac:dyDescent="0.35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</row>
    <row r="745" spans="1:26" ht="14.5" x14ac:dyDescent="0.35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</row>
    <row r="746" spans="1:26" ht="14.5" x14ac:dyDescent="0.35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</row>
    <row r="747" spans="1:26" ht="14.5" x14ac:dyDescent="0.3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</row>
    <row r="748" spans="1:26" ht="14.5" x14ac:dyDescent="0.35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</row>
    <row r="749" spans="1:26" ht="14.5" x14ac:dyDescent="0.35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</row>
    <row r="750" spans="1:26" ht="14.5" x14ac:dyDescent="0.35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</row>
    <row r="751" spans="1:26" ht="14.5" x14ac:dyDescent="0.35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</row>
    <row r="752" spans="1:26" ht="14.5" x14ac:dyDescent="0.35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</row>
    <row r="753" spans="1:26" ht="14.5" x14ac:dyDescent="0.35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</row>
    <row r="754" spans="1:26" ht="14.5" x14ac:dyDescent="0.35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</row>
    <row r="755" spans="1:26" ht="14.5" x14ac:dyDescent="0.35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</row>
    <row r="756" spans="1:26" ht="14.5" x14ac:dyDescent="0.35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</row>
    <row r="757" spans="1:26" ht="14.5" x14ac:dyDescent="0.35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</row>
    <row r="758" spans="1:26" ht="14.5" x14ac:dyDescent="0.35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</row>
    <row r="759" spans="1:26" ht="14.5" x14ac:dyDescent="0.35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</row>
    <row r="760" spans="1:26" ht="14.5" x14ac:dyDescent="0.35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</row>
    <row r="761" spans="1:26" ht="14.5" x14ac:dyDescent="0.35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</row>
    <row r="762" spans="1:26" ht="14.5" x14ac:dyDescent="0.35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</row>
    <row r="763" spans="1:26" ht="14.5" x14ac:dyDescent="0.35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</row>
    <row r="764" spans="1:26" ht="14.5" x14ac:dyDescent="0.35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</row>
    <row r="765" spans="1:26" ht="14.5" x14ac:dyDescent="0.35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</row>
    <row r="766" spans="1:26" ht="14.5" x14ac:dyDescent="0.35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</row>
    <row r="767" spans="1:26" ht="14.5" x14ac:dyDescent="0.35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</row>
    <row r="768" spans="1:26" ht="14.5" x14ac:dyDescent="0.35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</row>
    <row r="769" spans="1:26" ht="14.5" x14ac:dyDescent="0.35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</row>
    <row r="770" spans="1:26" ht="14.5" x14ac:dyDescent="0.35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</row>
    <row r="771" spans="1:26" ht="14.5" x14ac:dyDescent="0.35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</row>
    <row r="772" spans="1:26" ht="14.5" x14ac:dyDescent="0.35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</row>
    <row r="773" spans="1:26" ht="14.5" x14ac:dyDescent="0.35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</row>
    <row r="774" spans="1:26" ht="14.5" x14ac:dyDescent="0.35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</row>
    <row r="775" spans="1:26" ht="14.5" x14ac:dyDescent="0.35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</row>
    <row r="776" spans="1:26" ht="14.5" x14ac:dyDescent="0.35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</row>
    <row r="777" spans="1:26" ht="14.5" x14ac:dyDescent="0.35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</row>
    <row r="778" spans="1:26" ht="14.5" x14ac:dyDescent="0.35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</row>
    <row r="779" spans="1:26" ht="14.5" x14ac:dyDescent="0.35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</row>
    <row r="780" spans="1:26" ht="14.5" x14ac:dyDescent="0.35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</row>
    <row r="781" spans="1:26" ht="14.5" x14ac:dyDescent="0.35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</row>
    <row r="782" spans="1:26" ht="14.5" x14ac:dyDescent="0.35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</row>
    <row r="783" spans="1:26" ht="14.5" x14ac:dyDescent="0.35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</row>
    <row r="784" spans="1:26" ht="14.5" x14ac:dyDescent="0.35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</row>
    <row r="785" spans="1:26" ht="14.5" x14ac:dyDescent="0.35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</row>
    <row r="786" spans="1:26" ht="14.5" x14ac:dyDescent="0.35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</row>
    <row r="787" spans="1:26" ht="14.5" x14ac:dyDescent="0.35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</row>
    <row r="788" spans="1:26" ht="14.5" x14ac:dyDescent="0.35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</row>
    <row r="789" spans="1:26" ht="14.5" x14ac:dyDescent="0.35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</row>
    <row r="790" spans="1:26" ht="14.5" x14ac:dyDescent="0.35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</row>
    <row r="791" spans="1:26" ht="14.5" x14ac:dyDescent="0.35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</row>
    <row r="792" spans="1:26" ht="14.5" x14ac:dyDescent="0.35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</row>
    <row r="793" spans="1:26" ht="14.5" x14ac:dyDescent="0.35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</row>
    <row r="794" spans="1:26" ht="14.5" x14ac:dyDescent="0.35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</row>
    <row r="795" spans="1:26" ht="14.5" x14ac:dyDescent="0.35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</row>
    <row r="796" spans="1:26" ht="14.5" x14ac:dyDescent="0.35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</row>
    <row r="797" spans="1:26" ht="14.5" x14ac:dyDescent="0.35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</row>
    <row r="798" spans="1:26" ht="14.5" x14ac:dyDescent="0.35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</row>
    <row r="799" spans="1:26" ht="14.5" x14ac:dyDescent="0.35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</row>
    <row r="800" spans="1:26" ht="14.5" x14ac:dyDescent="0.35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</row>
    <row r="801" spans="1:26" ht="14.5" x14ac:dyDescent="0.35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</row>
    <row r="802" spans="1:26" ht="14.5" x14ac:dyDescent="0.35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</row>
    <row r="803" spans="1:26" ht="14.5" x14ac:dyDescent="0.35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</row>
    <row r="804" spans="1:26" ht="14.5" x14ac:dyDescent="0.35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</row>
    <row r="805" spans="1:26" ht="14.5" x14ac:dyDescent="0.35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</row>
    <row r="806" spans="1:26" ht="14.5" x14ac:dyDescent="0.35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</row>
    <row r="807" spans="1:26" ht="14.5" x14ac:dyDescent="0.35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</row>
    <row r="808" spans="1:26" ht="14.5" x14ac:dyDescent="0.35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</row>
    <row r="809" spans="1:26" ht="14.5" x14ac:dyDescent="0.35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</row>
    <row r="810" spans="1:26" ht="14.5" x14ac:dyDescent="0.35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</row>
    <row r="811" spans="1:26" ht="14.5" x14ac:dyDescent="0.35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</row>
    <row r="812" spans="1:26" ht="14.5" x14ac:dyDescent="0.35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</row>
    <row r="813" spans="1:26" ht="14.5" x14ac:dyDescent="0.35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</row>
    <row r="814" spans="1:26" ht="14.5" x14ac:dyDescent="0.35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</row>
    <row r="815" spans="1:26" ht="14.5" x14ac:dyDescent="0.35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</row>
    <row r="816" spans="1:26" ht="14.5" x14ac:dyDescent="0.35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</row>
    <row r="817" spans="1:26" ht="14.5" x14ac:dyDescent="0.35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</row>
    <row r="818" spans="1:26" ht="14.5" x14ac:dyDescent="0.35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</row>
    <row r="819" spans="1:26" ht="14.5" x14ac:dyDescent="0.35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</row>
    <row r="820" spans="1:26" ht="14.5" x14ac:dyDescent="0.3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</row>
    <row r="821" spans="1:26" ht="14.5" x14ac:dyDescent="0.3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</row>
    <row r="822" spans="1:26" ht="14.5" x14ac:dyDescent="0.3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</row>
    <row r="823" spans="1:26" ht="14.5" x14ac:dyDescent="0.3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</row>
    <row r="824" spans="1:26" ht="14.5" x14ac:dyDescent="0.3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</row>
    <row r="825" spans="1:26" ht="14.5" x14ac:dyDescent="0.3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</row>
    <row r="826" spans="1:26" ht="14.5" x14ac:dyDescent="0.3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</row>
    <row r="827" spans="1:26" ht="14.5" x14ac:dyDescent="0.3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</row>
    <row r="828" spans="1:26" ht="14.5" x14ac:dyDescent="0.3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</row>
    <row r="829" spans="1:26" ht="14.5" x14ac:dyDescent="0.3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</row>
    <row r="830" spans="1:26" ht="14.5" x14ac:dyDescent="0.3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</row>
    <row r="831" spans="1:26" ht="14.5" x14ac:dyDescent="0.3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</row>
    <row r="832" spans="1:26" ht="14.5" x14ac:dyDescent="0.35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</row>
    <row r="833" spans="1:26" ht="14.5" x14ac:dyDescent="0.35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</row>
    <row r="834" spans="1:26" ht="14.5" x14ac:dyDescent="0.35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</row>
    <row r="835" spans="1:26" ht="14.5" x14ac:dyDescent="0.35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</row>
    <row r="836" spans="1:26" ht="14.5" x14ac:dyDescent="0.35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</row>
    <row r="837" spans="1:26" ht="14.5" x14ac:dyDescent="0.35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</row>
    <row r="838" spans="1:26" ht="14.5" x14ac:dyDescent="0.35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</row>
    <row r="839" spans="1:26" ht="14.5" x14ac:dyDescent="0.35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</row>
    <row r="840" spans="1:26" ht="14.5" x14ac:dyDescent="0.35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</row>
    <row r="841" spans="1:26" ht="14.5" x14ac:dyDescent="0.35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</row>
    <row r="842" spans="1:26" ht="14.5" x14ac:dyDescent="0.35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</row>
    <row r="843" spans="1:26" ht="14.5" x14ac:dyDescent="0.35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</row>
    <row r="844" spans="1:26" ht="14.5" x14ac:dyDescent="0.35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</row>
    <row r="845" spans="1:26" ht="14.5" x14ac:dyDescent="0.35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</row>
    <row r="846" spans="1:26" ht="14.5" x14ac:dyDescent="0.35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</row>
    <row r="847" spans="1:26" ht="14.5" x14ac:dyDescent="0.35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</row>
    <row r="848" spans="1:26" ht="14.5" x14ac:dyDescent="0.35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</row>
    <row r="849" spans="1:26" ht="14.5" x14ac:dyDescent="0.35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</row>
    <row r="850" spans="1:26" ht="14.5" x14ac:dyDescent="0.35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</row>
    <row r="851" spans="1:26" ht="14.5" x14ac:dyDescent="0.35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</row>
    <row r="852" spans="1:26" ht="14.5" x14ac:dyDescent="0.35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</row>
    <row r="853" spans="1:26" ht="14.5" x14ac:dyDescent="0.35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</row>
    <row r="854" spans="1:26" ht="14.5" x14ac:dyDescent="0.35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</row>
    <row r="855" spans="1:26" ht="14.5" x14ac:dyDescent="0.35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</row>
    <row r="856" spans="1:26" ht="14.5" x14ac:dyDescent="0.35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</row>
    <row r="857" spans="1:26" ht="14.5" x14ac:dyDescent="0.35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</row>
    <row r="858" spans="1:26" ht="14.5" x14ac:dyDescent="0.35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</row>
    <row r="859" spans="1:26" ht="14.5" x14ac:dyDescent="0.35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</row>
    <row r="860" spans="1:26" ht="14.5" x14ac:dyDescent="0.35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</row>
    <row r="861" spans="1:26" ht="14.5" x14ac:dyDescent="0.35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</row>
    <row r="862" spans="1:26" ht="14.5" x14ac:dyDescent="0.35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</row>
    <row r="863" spans="1:26" ht="14.5" x14ac:dyDescent="0.35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</row>
    <row r="864" spans="1:26" ht="14.5" x14ac:dyDescent="0.35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</row>
    <row r="865" spans="1:26" ht="14.5" x14ac:dyDescent="0.35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</row>
    <row r="866" spans="1:26" ht="14.5" x14ac:dyDescent="0.35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</row>
    <row r="867" spans="1:26" ht="14.5" x14ac:dyDescent="0.35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</row>
    <row r="868" spans="1:26" ht="14.5" x14ac:dyDescent="0.35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</row>
    <row r="869" spans="1:26" ht="14.5" x14ac:dyDescent="0.35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</row>
    <row r="870" spans="1:26" ht="14.5" x14ac:dyDescent="0.35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</row>
    <row r="871" spans="1:26" ht="14.5" x14ac:dyDescent="0.35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</row>
    <row r="872" spans="1:26" ht="14.5" x14ac:dyDescent="0.35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</row>
    <row r="873" spans="1:26" ht="14.5" x14ac:dyDescent="0.35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</row>
    <row r="874" spans="1:26" ht="14.5" x14ac:dyDescent="0.35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</row>
    <row r="875" spans="1:26" ht="14.5" x14ac:dyDescent="0.35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</row>
    <row r="876" spans="1:26" ht="14.5" x14ac:dyDescent="0.35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</row>
    <row r="877" spans="1:26" ht="14.5" x14ac:dyDescent="0.35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</row>
    <row r="878" spans="1:26" ht="14.5" x14ac:dyDescent="0.35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</row>
    <row r="879" spans="1:26" ht="14.5" x14ac:dyDescent="0.35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</row>
    <row r="880" spans="1:26" ht="14.5" x14ac:dyDescent="0.35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</row>
    <row r="881" spans="1:26" ht="14.5" x14ac:dyDescent="0.35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</row>
    <row r="882" spans="1:26" ht="14.5" x14ac:dyDescent="0.35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</row>
    <row r="883" spans="1:26" ht="14.5" x14ac:dyDescent="0.35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</row>
    <row r="884" spans="1:26" ht="14.5" x14ac:dyDescent="0.35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</row>
    <row r="885" spans="1:26" ht="14.5" x14ac:dyDescent="0.35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</row>
    <row r="886" spans="1:26" ht="14.5" x14ac:dyDescent="0.35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</row>
    <row r="887" spans="1:26" ht="14.5" x14ac:dyDescent="0.35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</row>
    <row r="888" spans="1:26" ht="14.5" x14ac:dyDescent="0.35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</row>
    <row r="889" spans="1:26" ht="14.5" x14ac:dyDescent="0.35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</row>
    <row r="890" spans="1:26" ht="14.5" x14ac:dyDescent="0.35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</row>
    <row r="891" spans="1:26" ht="14.5" x14ac:dyDescent="0.35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</row>
    <row r="892" spans="1:26" ht="14.5" x14ac:dyDescent="0.35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</row>
    <row r="893" spans="1:26" ht="14.5" x14ac:dyDescent="0.3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</row>
    <row r="894" spans="1:26" ht="14.5" x14ac:dyDescent="0.35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</row>
    <row r="895" spans="1:26" ht="14.5" x14ac:dyDescent="0.35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</row>
    <row r="896" spans="1:26" ht="14.5" x14ac:dyDescent="0.35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</row>
    <row r="897" spans="1:26" ht="14.5" x14ac:dyDescent="0.35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</row>
    <row r="898" spans="1:26" ht="14.5" x14ac:dyDescent="0.35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</row>
    <row r="899" spans="1:26" ht="14.5" x14ac:dyDescent="0.35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</row>
    <row r="900" spans="1:26" ht="14.5" x14ac:dyDescent="0.35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</row>
    <row r="901" spans="1:26" ht="14.5" x14ac:dyDescent="0.35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</row>
    <row r="902" spans="1:26" ht="14.5" x14ac:dyDescent="0.35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</row>
    <row r="903" spans="1:26" ht="14.5" x14ac:dyDescent="0.35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</row>
    <row r="904" spans="1:26" ht="14.5" x14ac:dyDescent="0.35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</row>
    <row r="905" spans="1:26" ht="14.5" x14ac:dyDescent="0.35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</row>
    <row r="906" spans="1:26" ht="14.5" x14ac:dyDescent="0.35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</row>
    <row r="907" spans="1:26" ht="14.5" x14ac:dyDescent="0.35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</row>
    <row r="908" spans="1:26" ht="14.5" x14ac:dyDescent="0.35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</row>
    <row r="909" spans="1:26" ht="14.5" x14ac:dyDescent="0.35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</row>
    <row r="910" spans="1:26" ht="14.5" x14ac:dyDescent="0.35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</row>
    <row r="911" spans="1:26" ht="14.5" x14ac:dyDescent="0.35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</row>
    <row r="912" spans="1:26" ht="14.5" x14ac:dyDescent="0.35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</row>
    <row r="913" spans="1:26" ht="14.5" x14ac:dyDescent="0.35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</row>
    <row r="914" spans="1:26" ht="14.5" x14ac:dyDescent="0.35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</row>
    <row r="915" spans="1:26" ht="14.5" x14ac:dyDescent="0.35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</row>
    <row r="916" spans="1:26" ht="14.5" x14ac:dyDescent="0.35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</row>
    <row r="917" spans="1:26" ht="14.5" x14ac:dyDescent="0.35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</row>
    <row r="918" spans="1:26" ht="14.5" x14ac:dyDescent="0.35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</row>
    <row r="919" spans="1:26" ht="14.5" x14ac:dyDescent="0.35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</row>
    <row r="920" spans="1:26" ht="14.5" x14ac:dyDescent="0.35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</row>
    <row r="921" spans="1:26" ht="14.5" x14ac:dyDescent="0.3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</row>
    <row r="922" spans="1:26" ht="14.5" x14ac:dyDescent="0.3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</row>
    <row r="923" spans="1:26" ht="14.5" x14ac:dyDescent="0.3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</row>
    <row r="924" spans="1:26" ht="14.5" x14ac:dyDescent="0.3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</row>
    <row r="925" spans="1:26" ht="14.5" x14ac:dyDescent="0.3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</row>
    <row r="926" spans="1:26" ht="14.5" x14ac:dyDescent="0.3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</row>
    <row r="927" spans="1:26" ht="14.5" x14ac:dyDescent="0.3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</row>
    <row r="928" spans="1:26" ht="14.5" x14ac:dyDescent="0.3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</row>
    <row r="929" spans="1:26" ht="14.5" x14ac:dyDescent="0.3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</row>
    <row r="930" spans="1:26" ht="14.5" x14ac:dyDescent="0.3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</row>
    <row r="931" spans="1:26" ht="14.5" x14ac:dyDescent="0.3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</row>
    <row r="932" spans="1:26" ht="14.5" x14ac:dyDescent="0.3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</row>
    <row r="933" spans="1:26" ht="14.5" x14ac:dyDescent="0.35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</row>
    <row r="934" spans="1:26" ht="14.5" x14ac:dyDescent="0.35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</row>
    <row r="935" spans="1:26" ht="14.5" x14ac:dyDescent="0.35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</row>
    <row r="936" spans="1:26" ht="14.5" x14ac:dyDescent="0.35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</row>
    <row r="937" spans="1:26" ht="14.5" x14ac:dyDescent="0.35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</row>
    <row r="938" spans="1:26" ht="14.5" x14ac:dyDescent="0.35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</row>
    <row r="939" spans="1:26" ht="14.5" x14ac:dyDescent="0.35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</row>
    <row r="940" spans="1:26" ht="14.5" x14ac:dyDescent="0.35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</row>
    <row r="941" spans="1:26" ht="14.5" x14ac:dyDescent="0.35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</row>
    <row r="942" spans="1:26" ht="14.5" x14ac:dyDescent="0.35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</row>
    <row r="943" spans="1:26" ht="14.5" x14ac:dyDescent="0.35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</row>
    <row r="944" spans="1:26" ht="14.5" x14ac:dyDescent="0.35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</row>
    <row r="945" spans="1:26" ht="14.5" x14ac:dyDescent="0.35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</row>
    <row r="946" spans="1:26" ht="14.5" x14ac:dyDescent="0.35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</row>
    <row r="947" spans="1:26" ht="14.5" x14ac:dyDescent="0.35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</row>
    <row r="948" spans="1:26" ht="14.5" x14ac:dyDescent="0.35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</row>
    <row r="949" spans="1:26" ht="14.5" x14ac:dyDescent="0.35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</row>
    <row r="950" spans="1:26" ht="14.5" x14ac:dyDescent="0.35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</row>
    <row r="951" spans="1:26" ht="14.5" x14ac:dyDescent="0.35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</row>
    <row r="952" spans="1:26" ht="14.5" x14ac:dyDescent="0.35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</row>
    <row r="953" spans="1:26" ht="14.5" x14ac:dyDescent="0.35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</row>
    <row r="954" spans="1:26" ht="14.5" x14ac:dyDescent="0.35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</row>
    <row r="955" spans="1:26" ht="14.5" x14ac:dyDescent="0.35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</row>
    <row r="956" spans="1:26" ht="14.5" x14ac:dyDescent="0.35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</row>
    <row r="957" spans="1:26" ht="14.5" x14ac:dyDescent="0.35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</row>
    <row r="958" spans="1:26" ht="14.5" x14ac:dyDescent="0.35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</row>
    <row r="959" spans="1:26" ht="14.5" x14ac:dyDescent="0.35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</row>
    <row r="960" spans="1:26" ht="14.5" x14ac:dyDescent="0.35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</row>
    <row r="961" spans="1:26" ht="14.5" x14ac:dyDescent="0.35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</row>
    <row r="962" spans="1:26" ht="14.5" x14ac:dyDescent="0.35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</row>
    <row r="963" spans="1:26" ht="14.5" x14ac:dyDescent="0.35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</row>
    <row r="964" spans="1:26" ht="14.5" x14ac:dyDescent="0.35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</row>
    <row r="965" spans="1:26" ht="14.5" x14ac:dyDescent="0.35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</row>
    <row r="966" spans="1:26" ht="14.5" x14ac:dyDescent="0.35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</row>
    <row r="967" spans="1:26" ht="14.5" x14ac:dyDescent="0.35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</row>
    <row r="968" spans="1:26" ht="14.5" x14ac:dyDescent="0.35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</row>
    <row r="969" spans="1:26" ht="14.5" x14ac:dyDescent="0.35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</row>
    <row r="970" spans="1:26" ht="14.5" x14ac:dyDescent="0.35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</row>
    <row r="971" spans="1:26" ht="14.5" x14ac:dyDescent="0.35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</row>
    <row r="972" spans="1:26" ht="14.5" x14ac:dyDescent="0.35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</row>
    <row r="973" spans="1:26" ht="14.5" x14ac:dyDescent="0.35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</row>
    <row r="974" spans="1:26" ht="14.5" x14ac:dyDescent="0.35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</row>
    <row r="975" spans="1:26" ht="14.5" x14ac:dyDescent="0.35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</row>
    <row r="976" spans="1:26" ht="14.5" x14ac:dyDescent="0.35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</row>
    <row r="977" spans="1:26" ht="14.5" x14ac:dyDescent="0.35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</row>
    <row r="978" spans="1:26" ht="14.5" x14ac:dyDescent="0.35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</row>
    <row r="979" spans="1:26" ht="14.5" x14ac:dyDescent="0.35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</row>
    <row r="980" spans="1:26" ht="14.5" x14ac:dyDescent="0.35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</row>
    <row r="981" spans="1:26" ht="14.5" x14ac:dyDescent="0.35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</row>
    <row r="982" spans="1:26" ht="14.5" x14ac:dyDescent="0.35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</row>
    <row r="983" spans="1:26" ht="14.5" x14ac:dyDescent="0.35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</row>
    <row r="984" spans="1:26" ht="14.5" x14ac:dyDescent="0.35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</row>
    <row r="985" spans="1:26" ht="14.5" x14ac:dyDescent="0.35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</row>
    <row r="986" spans="1:26" ht="14.5" x14ac:dyDescent="0.35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</row>
    <row r="987" spans="1:26" ht="14.5" x14ac:dyDescent="0.35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</row>
    <row r="988" spans="1:26" ht="14.5" x14ac:dyDescent="0.35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</row>
    <row r="989" spans="1:26" ht="14.5" x14ac:dyDescent="0.35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</row>
    <row r="990" spans="1:26" ht="14.5" x14ac:dyDescent="0.35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</row>
    <row r="991" spans="1:26" ht="14.5" x14ac:dyDescent="0.35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</row>
    <row r="992" spans="1:26" ht="14.5" x14ac:dyDescent="0.35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</row>
    <row r="993" spans="1:26" ht="14.5" x14ac:dyDescent="0.35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</row>
    <row r="994" spans="1:26" ht="14.5" x14ac:dyDescent="0.35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</row>
    <row r="995" spans="1:26" ht="14.5" x14ac:dyDescent="0.35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</row>
    <row r="996" spans="1:26" ht="14.5" x14ac:dyDescent="0.35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</row>
    <row r="997" spans="1:26" ht="14.5" x14ac:dyDescent="0.35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</row>
    <row r="998" spans="1:26" ht="14.5" x14ac:dyDescent="0.35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</row>
    <row r="999" spans="1:26" ht="14.5" x14ac:dyDescent="0.35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</row>
    <row r="1000" spans="1:26" ht="14.5" x14ac:dyDescent="0.35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</row>
    <row r="1001" spans="1:26" ht="14.5" x14ac:dyDescent="0.35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</row>
  </sheetData>
  <customSheetViews>
    <customSheetView guid="{106B7A88-9D1E-4D22-9DE1-7E44A908E830}" showGridLines="0" fitToPage="1">
      <selection activeCell="E14" sqref="E14"/>
      <pageMargins left="0.7" right="0.7" top="0.75" bottom="0.75" header="0.3" footer="0.3"/>
      <pageSetup paperSize="9" scale="42" fitToHeight="0" orientation="landscape" r:id="rId1"/>
    </customSheetView>
    <customSheetView guid="{CF50DB9B-0F8D-41A5-9576-F9345942CE97}" showGridLines="0">
      <selection activeCell="B12" sqref="B12"/>
      <pageMargins left="0.7" right="0.7" top="0.75" bottom="0.75" header="0.3" footer="0.3"/>
    </customSheetView>
    <customSheetView guid="{B8CD8764-8103-4BA7-A294-F5FED5EA74ED}" showGridLines="0">
      <selection activeCell="B12" sqref="B12"/>
      <pageMargins left="0.7" right="0.7" top="0.75" bottom="0.75" header="0.3" footer="0.3"/>
    </customSheetView>
    <customSheetView guid="{845F3A43-EF96-4057-9777-D2F2301CC149}" showPageBreaks="1" showGridLines="0" fitToPage="1">
      <selection activeCell="E14" sqref="E14"/>
      <pageMargins left="0.7" right="0.7" top="0.75" bottom="0.75" header="0.3" footer="0.3"/>
      <pageSetup paperSize="9" scale="42" fitToHeight="0" orientation="landscape" r:id="rId2"/>
    </customSheetView>
  </customSheetViews>
  <pageMargins left="0.7" right="0.7" top="0.75" bottom="0.75" header="0.3" footer="0.3"/>
  <pageSetup paperSize="9" scale="42" fitToHeight="0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5A808-B811-42CF-BE67-3CF3AD6B3D47}">
  <dimension ref="A2:N31"/>
  <sheetViews>
    <sheetView workbookViewId="0">
      <selection activeCell="E33" sqref="E33"/>
    </sheetView>
  </sheetViews>
  <sheetFormatPr baseColWidth="10" defaultRowHeight="12.5" x14ac:dyDescent="0.25"/>
  <cols>
    <col min="1" max="1" width="24.7265625" bestFit="1" customWidth="1"/>
    <col min="2" max="2" width="15.7265625" bestFit="1" customWidth="1"/>
    <col min="5" max="5" width="11.453125" style="593"/>
    <col min="10" max="10" width="24.7265625" bestFit="1" customWidth="1"/>
    <col min="13" max="13" width="25.1796875" bestFit="1" customWidth="1"/>
  </cols>
  <sheetData>
    <row r="2" spans="1:14" x14ac:dyDescent="0.25">
      <c r="I2">
        <v>2019</v>
      </c>
      <c r="L2">
        <v>2020</v>
      </c>
    </row>
    <row r="3" spans="1:14" x14ac:dyDescent="0.25">
      <c r="J3" s="177" t="s">
        <v>656</v>
      </c>
      <c r="K3" s="593">
        <v>60</v>
      </c>
      <c r="M3" s="177" t="s">
        <v>656</v>
      </c>
      <c r="N3">
        <v>60</v>
      </c>
    </row>
    <row r="4" spans="1:14" x14ac:dyDescent="0.25">
      <c r="A4" s="288" t="s">
        <v>528</v>
      </c>
      <c r="B4" s="288" t="s">
        <v>730</v>
      </c>
      <c r="C4" s="593" t="s">
        <v>655</v>
      </c>
      <c r="D4" s="288"/>
      <c r="E4" s="288"/>
      <c r="J4" s="177" t="s">
        <v>748</v>
      </c>
      <c r="K4" s="593">
        <v>19</v>
      </c>
      <c r="M4" s="177" t="s">
        <v>748</v>
      </c>
      <c r="N4">
        <f>N22</f>
        <v>20</v>
      </c>
    </row>
    <row r="5" spans="1:14" x14ac:dyDescent="0.25">
      <c r="A5" s="288" t="s">
        <v>531</v>
      </c>
      <c r="B5" s="288">
        <v>1490</v>
      </c>
      <c r="C5" s="593"/>
      <c r="D5" s="288"/>
      <c r="E5" s="288"/>
      <c r="J5" s="177" t="s">
        <v>749</v>
      </c>
      <c r="K5" s="593">
        <v>41</v>
      </c>
      <c r="M5" s="177"/>
    </row>
    <row r="6" spans="1:14" x14ac:dyDescent="0.25">
      <c r="A6" s="288" t="s">
        <v>532</v>
      </c>
      <c r="B6" s="288">
        <v>1290</v>
      </c>
      <c r="C6" s="593"/>
      <c r="D6" s="288"/>
      <c r="E6" s="288"/>
      <c r="J6" s="177" t="s">
        <v>750</v>
      </c>
      <c r="K6" s="593">
        <v>4</v>
      </c>
    </row>
    <row r="7" spans="1:14" x14ac:dyDescent="0.25">
      <c r="A7" s="288" t="s">
        <v>533</v>
      </c>
      <c r="B7" s="288">
        <v>1190</v>
      </c>
      <c r="C7" s="593"/>
      <c r="D7" s="288"/>
      <c r="E7" s="288"/>
    </row>
    <row r="8" spans="1:14" x14ac:dyDescent="0.25">
      <c r="A8" s="288" t="s">
        <v>535</v>
      </c>
      <c r="B8" s="288">
        <v>595</v>
      </c>
      <c r="C8" s="593"/>
      <c r="D8" s="288"/>
      <c r="E8" s="288"/>
    </row>
    <row r="9" spans="1:14" s="593" customFormat="1" x14ac:dyDescent="0.25">
      <c r="A9" s="145" t="s">
        <v>746</v>
      </c>
      <c r="B9" s="636" t="s">
        <v>747</v>
      </c>
      <c r="D9" s="288"/>
      <c r="E9" s="288"/>
    </row>
    <row r="10" spans="1:14" x14ac:dyDescent="0.25">
      <c r="A10" s="288" t="s">
        <v>731</v>
      </c>
      <c r="B10" s="288">
        <v>6000</v>
      </c>
      <c r="C10" s="593">
        <v>1</v>
      </c>
      <c r="D10" s="633">
        <f>B10*C10</f>
        <v>6000</v>
      </c>
      <c r="E10" s="633"/>
    </row>
    <row r="11" spans="1:14" x14ac:dyDescent="0.25">
      <c r="A11" s="288" t="s">
        <v>733</v>
      </c>
      <c r="B11" s="288">
        <v>2000</v>
      </c>
      <c r="C11" s="593">
        <v>3</v>
      </c>
      <c r="D11" s="633">
        <f t="shared" ref="D11" si="0">B11*C11</f>
        <v>6000</v>
      </c>
      <c r="E11" s="633"/>
    </row>
    <row r="12" spans="1:14" ht="13" x14ac:dyDescent="0.3">
      <c r="A12" s="593" t="s">
        <v>240</v>
      </c>
      <c r="D12" s="641">
        <f>SUM(D10:D11)</f>
        <v>12000</v>
      </c>
      <c r="E12" s="641"/>
      <c r="M12" s="634" t="s">
        <v>619</v>
      </c>
      <c r="N12" s="634" t="s">
        <v>540</v>
      </c>
    </row>
    <row r="13" spans="1:14" s="593" customFormat="1" x14ac:dyDescent="0.25">
      <c r="M13" s="433" t="s">
        <v>86</v>
      </c>
      <c r="N13" s="440">
        <f>1+5</f>
        <v>6</v>
      </c>
    </row>
    <row r="14" spans="1:14" s="593" customFormat="1" ht="39" x14ac:dyDescent="0.3">
      <c r="E14" s="643" t="s">
        <v>754</v>
      </c>
      <c r="M14" s="433" t="s">
        <v>620</v>
      </c>
      <c r="N14" s="433">
        <v>1</v>
      </c>
    </row>
    <row r="15" spans="1:14" s="593" customFormat="1" ht="13" x14ac:dyDescent="0.3">
      <c r="A15" s="429" t="s">
        <v>539</v>
      </c>
      <c r="B15" s="429" t="s">
        <v>540</v>
      </c>
      <c r="C15" s="429" t="s">
        <v>547</v>
      </c>
      <c r="D15" s="429" t="s">
        <v>548</v>
      </c>
      <c r="E15" s="429" t="s">
        <v>201</v>
      </c>
      <c r="F15" s="174" t="s">
        <v>549</v>
      </c>
      <c r="G15" s="429" t="s">
        <v>550</v>
      </c>
      <c r="M15" s="433" t="s">
        <v>621</v>
      </c>
      <c r="N15" s="433">
        <v>1</v>
      </c>
    </row>
    <row r="16" spans="1:14" s="593" customFormat="1" x14ac:dyDescent="0.25">
      <c r="A16" s="288" t="s">
        <v>544</v>
      </c>
      <c r="B16" s="288">
        <v>12</v>
      </c>
      <c r="C16" s="288">
        <f>$B$6*2</f>
        <v>2580</v>
      </c>
      <c r="D16" s="288">
        <f>B16*C16</f>
        <v>30960</v>
      </c>
      <c r="E16" s="288"/>
      <c r="F16" s="593">
        <f>B16*E16</f>
        <v>0</v>
      </c>
      <c r="G16" s="633">
        <f>D16+F16</f>
        <v>30960</v>
      </c>
      <c r="M16" s="433" t="s">
        <v>622</v>
      </c>
      <c r="N16" s="433">
        <v>1</v>
      </c>
    </row>
    <row r="17" spans="1:14" x14ac:dyDescent="0.25">
      <c r="A17" s="288" t="s">
        <v>545</v>
      </c>
      <c r="B17" s="288">
        <v>8</v>
      </c>
      <c r="C17" s="288">
        <f>$B$6+$B$8</f>
        <v>1885</v>
      </c>
      <c r="D17" s="288">
        <f>B17*C17</f>
        <v>15080</v>
      </c>
      <c r="E17" s="288"/>
      <c r="F17" s="593">
        <f>B17*E17</f>
        <v>0</v>
      </c>
      <c r="G17" s="633">
        <f t="shared" ref="G17" si="1">D17+F17</f>
        <v>15080</v>
      </c>
      <c r="M17" s="433" t="s">
        <v>623</v>
      </c>
      <c r="N17" s="433">
        <v>1</v>
      </c>
    </row>
    <row r="18" spans="1:14" x14ac:dyDescent="0.25">
      <c r="A18" s="593" t="s">
        <v>729</v>
      </c>
      <c r="G18" s="641">
        <f>D12</f>
        <v>12000</v>
      </c>
      <c r="M18" s="433" t="s">
        <v>415</v>
      </c>
      <c r="N18" s="433">
        <v>2</v>
      </c>
    </row>
    <row r="19" spans="1:14" x14ac:dyDescent="0.25">
      <c r="G19" s="641"/>
      <c r="M19" s="440" t="s">
        <v>624</v>
      </c>
      <c r="N19" s="433">
        <v>1</v>
      </c>
    </row>
    <row r="20" spans="1:14" s="593" customFormat="1" x14ac:dyDescent="0.25">
      <c r="A20" s="177" t="s">
        <v>240</v>
      </c>
      <c r="G20" s="642">
        <f>SUM(G16:G19)</f>
        <v>58040</v>
      </c>
      <c r="M20" s="639" t="s">
        <v>598</v>
      </c>
      <c r="N20" s="640">
        <v>5</v>
      </c>
    </row>
    <row r="21" spans="1:14" x14ac:dyDescent="0.25">
      <c r="M21" s="639" t="s">
        <v>751</v>
      </c>
      <c r="N21" s="640">
        <v>2</v>
      </c>
    </row>
    <row r="22" spans="1:14" ht="13" x14ac:dyDescent="0.3">
      <c r="A22" s="429" t="s">
        <v>752</v>
      </c>
      <c r="B22" s="429" t="s">
        <v>540</v>
      </c>
      <c r="C22" s="429" t="s">
        <v>547</v>
      </c>
      <c r="D22" s="429" t="s">
        <v>548</v>
      </c>
      <c r="E22" s="429" t="s">
        <v>201</v>
      </c>
      <c r="F22" s="174" t="s">
        <v>549</v>
      </c>
      <c r="G22" s="429" t="s">
        <v>550</v>
      </c>
      <c r="M22" s="639" t="s">
        <v>240</v>
      </c>
      <c r="N22" s="433">
        <f>SUM(N13:N21)</f>
        <v>20</v>
      </c>
    </row>
    <row r="23" spans="1:14" x14ac:dyDescent="0.25">
      <c r="A23" s="288" t="s">
        <v>544</v>
      </c>
      <c r="B23" s="288">
        <v>12</v>
      </c>
      <c r="C23" s="288">
        <f>$B$6*2</f>
        <v>2580</v>
      </c>
      <c r="D23" s="288">
        <f>B23*C23</f>
        <v>30960</v>
      </c>
      <c r="E23" s="288"/>
      <c r="F23" s="593">
        <f>B23*E23</f>
        <v>0</v>
      </c>
      <c r="G23" s="633">
        <f>D23+F23</f>
        <v>30960</v>
      </c>
    </row>
    <row r="24" spans="1:14" x14ac:dyDescent="0.25">
      <c r="A24" s="288" t="s">
        <v>545</v>
      </c>
      <c r="B24" s="288">
        <v>28</v>
      </c>
      <c r="C24" s="288">
        <f>$B$6+$B$8</f>
        <v>1885</v>
      </c>
      <c r="D24" s="288">
        <f>B24*C24</f>
        <v>52780</v>
      </c>
      <c r="E24" s="288"/>
      <c r="F24" s="593">
        <f>B24*E24</f>
        <v>0</v>
      </c>
      <c r="G24" s="633">
        <f t="shared" ref="G24" si="2">D24+F24</f>
        <v>52780</v>
      </c>
    </row>
    <row r="25" spans="1:14" x14ac:dyDescent="0.25">
      <c r="A25" s="593" t="s">
        <v>729</v>
      </c>
      <c r="B25" s="593"/>
      <c r="C25" s="593"/>
      <c r="D25" s="593"/>
      <c r="F25" s="593"/>
      <c r="G25" s="641">
        <f>D19</f>
        <v>0</v>
      </c>
    </row>
    <row r="26" spans="1:14" s="593" customFormat="1" x14ac:dyDescent="0.25">
      <c r="A26" s="593" t="s">
        <v>240</v>
      </c>
      <c r="G26" s="642">
        <f>SUM(G23:G25)</f>
        <v>83740</v>
      </c>
    </row>
    <row r="28" spans="1:14" s="593" customFormat="1" x14ac:dyDescent="0.25"/>
    <row r="29" spans="1:14" x14ac:dyDescent="0.25">
      <c r="A29" s="177" t="s">
        <v>542</v>
      </c>
      <c r="G29" s="641">
        <f>G26</f>
        <v>83740</v>
      </c>
    </row>
    <row r="30" spans="1:14" x14ac:dyDescent="0.25">
      <c r="A30" s="177" t="s">
        <v>753</v>
      </c>
      <c r="G30" s="641">
        <f>G20+G26</f>
        <v>141780</v>
      </c>
    </row>
    <row r="31" spans="1:14" s="593" customFormat="1" x14ac:dyDescent="0.25"/>
  </sheetData>
  <customSheetViews>
    <customSheetView guid="{106B7A88-9D1E-4D22-9DE1-7E44A908E830}">
      <selection activeCell="E33" sqref="E33"/>
      <pageMargins left="0.7" right="0.7" top="0.75" bottom="0.75" header="0.3" footer="0.3"/>
    </customSheetView>
    <customSheetView guid="{845F3A43-EF96-4057-9777-D2F2301CC149}">
      <selection activeCell="E33" sqref="E3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Q52"/>
  <sheetViews>
    <sheetView topLeftCell="A7" zoomScale="80" zoomScaleNormal="80" workbookViewId="0">
      <selection activeCell="B34" sqref="B34"/>
    </sheetView>
  </sheetViews>
  <sheetFormatPr baseColWidth="10" defaultColWidth="10.81640625" defaultRowHeight="12.5" x14ac:dyDescent="0.25"/>
  <cols>
    <col min="1" max="1" width="39" bestFit="1" customWidth="1"/>
    <col min="2" max="2" width="15.7265625" bestFit="1" customWidth="1"/>
    <col min="3" max="3" width="25.1796875" bestFit="1" customWidth="1"/>
    <col min="4" max="4" width="15.7265625" bestFit="1" customWidth="1"/>
    <col min="5" max="5" width="27.26953125" style="282" customWidth="1"/>
    <col min="6" max="6" width="18.1796875" customWidth="1"/>
    <col min="7" max="8" width="12" bestFit="1" customWidth="1"/>
    <col min="9" max="9" width="20.7265625" style="282" customWidth="1"/>
    <col min="10" max="10" width="16.26953125" customWidth="1"/>
    <col min="11" max="11" width="13.7265625" bestFit="1" customWidth="1"/>
    <col min="12" max="12" width="12" bestFit="1" customWidth="1"/>
    <col min="15" max="15" width="18" bestFit="1" customWidth="1"/>
    <col min="17" max="17" width="48.1796875" bestFit="1" customWidth="1"/>
  </cols>
  <sheetData>
    <row r="2" spans="1:17" x14ac:dyDescent="0.25">
      <c r="A2" s="288" t="s">
        <v>528</v>
      </c>
      <c r="B2" s="288" t="s">
        <v>529</v>
      </c>
      <c r="C2" s="288" t="s">
        <v>530</v>
      </c>
      <c r="D2" s="288" t="s">
        <v>595</v>
      </c>
      <c r="E2" s="288" t="s">
        <v>596</v>
      </c>
      <c r="F2" s="288" t="s">
        <v>730</v>
      </c>
      <c r="G2" t="s">
        <v>655</v>
      </c>
      <c r="H2" s="288"/>
      <c r="I2" s="288"/>
      <c r="J2" s="288"/>
      <c r="K2" s="288"/>
      <c r="L2" s="288"/>
    </row>
    <row r="3" spans="1:17" x14ac:dyDescent="0.25">
      <c r="A3" s="288" t="s">
        <v>531</v>
      </c>
      <c r="B3" s="288">
        <v>1515</v>
      </c>
      <c r="C3" s="288">
        <v>1445</v>
      </c>
      <c r="D3" s="288">
        <v>1445</v>
      </c>
      <c r="E3" s="288">
        <v>1445</v>
      </c>
      <c r="F3" s="288">
        <v>1520</v>
      </c>
      <c r="H3" s="288"/>
      <c r="I3" s="288"/>
      <c r="J3" s="288"/>
      <c r="K3" s="288"/>
      <c r="L3" s="288"/>
      <c r="O3" t="s">
        <v>734</v>
      </c>
      <c r="P3">
        <v>2018</v>
      </c>
    </row>
    <row r="4" spans="1:17" ht="13" x14ac:dyDescent="0.3">
      <c r="A4" s="288" t="s">
        <v>532</v>
      </c>
      <c r="B4" s="288">
        <v>1315</v>
      </c>
      <c r="C4" s="288">
        <v>1245</v>
      </c>
      <c r="D4" s="288">
        <v>1245</v>
      </c>
      <c r="E4" s="288">
        <v>1245</v>
      </c>
      <c r="F4" s="288">
        <v>1320</v>
      </c>
      <c r="H4" s="288"/>
      <c r="I4" s="288"/>
      <c r="J4" s="288"/>
      <c r="K4" s="288"/>
      <c r="L4" s="288"/>
      <c r="O4" s="634"/>
      <c r="P4" s="634" t="s">
        <v>540</v>
      </c>
      <c r="Q4" s="440" t="s">
        <v>460</v>
      </c>
    </row>
    <row r="5" spans="1:17" x14ac:dyDescent="0.25">
      <c r="A5" s="288" t="s">
        <v>533</v>
      </c>
      <c r="B5" s="288"/>
      <c r="C5" s="288">
        <v>1145</v>
      </c>
      <c r="D5" s="288">
        <v>1145</v>
      </c>
      <c r="E5" s="288">
        <v>1145</v>
      </c>
      <c r="F5" s="288">
        <v>1220</v>
      </c>
      <c r="H5" s="288"/>
      <c r="I5" s="288"/>
      <c r="J5" s="288"/>
      <c r="K5" s="288"/>
      <c r="L5" s="288"/>
      <c r="O5" s="433" t="s">
        <v>735</v>
      </c>
      <c r="P5" s="433">
        <v>55</v>
      </c>
      <c r="Q5" s="433"/>
    </row>
    <row r="6" spans="1:17" x14ac:dyDescent="0.25">
      <c r="A6" s="288" t="s">
        <v>534</v>
      </c>
      <c r="B6" s="288">
        <v>1015</v>
      </c>
      <c r="C6" s="288">
        <v>1045</v>
      </c>
      <c r="D6" s="288">
        <v>1045</v>
      </c>
      <c r="E6" s="288">
        <v>1045</v>
      </c>
      <c r="F6" s="288">
        <v>1120</v>
      </c>
      <c r="H6" s="288"/>
      <c r="I6" s="288"/>
      <c r="J6" s="288"/>
      <c r="K6" s="288"/>
      <c r="L6" s="288"/>
      <c r="O6" s="433" t="s">
        <v>736</v>
      </c>
      <c r="P6" s="433">
        <v>12</v>
      </c>
      <c r="Q6" s="433"/>
    </row>
    <row r="7" spans="1:17" x14ac:dyDescent="0.25">
      <c r="A7" s="288" t="s">
        <v>535</v>
      </c>
      <c r="B7" s="288">
        <v>585</v>
      </c>
      <c r="C7" s="288">
        <v>595</v>
      </c>
      <c r="D7" s="288">
        <v>595</v>
      </c>
      <c r="E7" s="288">
        <v>595</v>
      </c>
      <c r="F7" s="288">
        <v>605</v>
      </c>
      <c r="H7" s="288"/>
      <c r="I7" s="288"/>
      <c r="J7" s="288"/>
      <c r="K7" s="288"/>
      <c r="L7" s="288"/>
      <c r="O7" s="433" t="s">
        <v>87</v>
      </c>
      <c r="P7" s="433">
        <v>19</v>
      </c>
      <c r="Q7" s="440" t="s">
        <v>740</v>
      </c>
    </row>
    <row r="8" spans="1:17" s="593" customFormat="1" x14ac:dyDescent="0.25">
      <c r="A8" s="288" t="s">
        <v>731</v>
      </c>
      <c r="B8" s="288"/>
      <c r="C8" s="288"/>
      <c r="D8" s="288"/>
      <c r="E8" s="288"/>
      <c r="F8" s="288">
        <v>6000</v>
      </c>
      <c r="G8" s="593">
        <v>6</v>
      </c>
      <c r="H8" s="633">
        <f>F8*G8</f>
        <v>36000</v>
      </c>
      <c r="I8" s="288"/>
      <c r="J8" s="288"/>
      <c r="K8" s="288"/>
      <c r="L8" s="288"/>
      <c r="O8" s="433" t="s">
        <v>737</v>
      </c>
      <c r="P8" s="433">
        <v>1</v>
      </c>
      <c r="Q8" s="440" t="s">
        <v>741</v>
      </c>
    </row>
    <row r="9" spans="1:17" s="593" customFormat="1" x14ac:dyDescent="0.25">
      <c r="A9" s="288" t="s">
        <v>732</v>
      </c>
      <c r="B9" s="288"/>
      <c r="C9" s="288"/>
      <c r="D9" s="288"/>
      <c r="E9" s="288"/>
      <c r="F9" s="288">
        <v>3000</v>
      </c>
      <c r="G9" s="593">
        <v>6</v>
      </c>
      <c r="H9" s="633">
        <f t="shared" ref="H9:H10" si="0">F9*G9</f>
        <v>18000</v>
      </c>
      <c r="I9" s="288"/>
      <c r="J9" s="288"/>
      <c r="K9" s="288"/>
      <c r="L9" s="288"/>
      <c r="O9" s="433" t="s">
        <v>738</v>
      </c>
      <c r="P9" s="433">
        <v>1</v>
      </c>
      <c r="Q9" s="433"/>
    </row>
    <row r="10" spans="1:17" s="593" customFormat="1" x14ac:dyDescent="0.25">
      <c r="A10" s="288" t="s">
        <v>733</v>
      </c>
      <c r="B10" s="288"/>
      <c r="C10" s="288"/>
      <c r="D10" s="288"/>
      <c r="E10" s="288"/>
      <c r="F10" s="288">
        <v>1500</v>
      </c>
      <c r="G10" s="593">
        <v>3</v>
      </c>
      <c r="H10" s="633">
        <f t="shared" si="0"/>
        <v>4500</v>
      </c>
      <c r="I10" s="288"/>
      <c r="J10" s="288"/>
      <c r="K10" s="288"/>
      <c r="L10" s="288"/>
      <c r="O10" s="433" t="s">
        <v>739</v>
      </c>
      <c r="P10" s="433">
        <v>2</v>
      </c>
      <c r="Q10" s="433"/>
    </row>
    <row r="11" spans="1:17" x14ac:dyDescent="0.25">
      <c r="A11" s="288" t="s">
        <v>536</v>
      </c>
      <c r="B11" s="288">
        <v>55</v>
      </c>
      <c r="C11" s="288"/>
      <c r="D11" s="288"/>
      <c r="E11" s="288"/>
      <c r="F11" s="288"/>
      <c r="H11" s="633">
        <f>SUM(H8:H10)</f>
        <v>58500</v>
      </c>
      <c r="I11" s="288"/>
      <c r="J11" s="288"/>
      <c r="K11" s="288"/>
      <c r="L11" s="288"/>
      <c r="O11" s="433" t="s">
        <v>598</v>
      </c>
      <c r="P11" s="433">
        <v>4</v>
      </c>
      <c r="Q11" s="433"/>
    </row>
    <row r="12" spans="1:17" x14ac:dyDescent="0.25">
      <c r="A12" s="288" t="s">
        <v>537</v>
      </c>
      <c r="B12" s="288">
        <v>39</v>
      </c>
      <c r="C12" s="288"/>
      <c r="D12" s="288"/>
      <c r="E12" s="288"/>
      <c r="F12" s="288"/>
      <c r="H12" s="288"/>
      <c r="I12" s="288"/>
      <c r="J12" s="288"/>
      <c r="K12" s="288"/>
      <c r="L12" s="288"/>
    </row>
    <row r="13" spans="1:17" x14ac:dyDescent="0.25">
      <c r="A13" s="288" t="s">
        <v>538</v>
      </c>
      <c r="B13" s="288">
        <v>39</v>
      </c>
      <c r="C13" s="288"/>
      <c r="D13" s="288"/>
      <c r="E13" s="288"/>
      <c r="F13" s="288"/>
      <c r="H13" s="288"/>
      <c r="I13" s="288"/>
      <c r="J13" s="288"/>
      <c r="K13" s="288"/>
      <c r="L13" s="288"/>
      <c r="O13" s="440" t="s">
        <v>742</v>
      </c>
      <c r="P13" s="433"/>
      <c r="Q13" s="440" t="s">
        <v>743</v>
      </c>
    </row>
    <row r="14" spans="1:17" x14ac:dyDescent="0.25">
      <c r="A14" s="288"/>
      <c r="B14" s="288"/>
      <c r="C14" s="288"/>
      <c r="D14" s="288"/>
      <c r="E14" s="288"/>
      <c r="F14" s="288"/>
      <c r="H14" s="288"/>
      <c r="I14" s="288"/>
      <c r="J14" s="288"/>
      <c r="K14" s="288"/>
      <c r="L14" s="288"/>
      <c r="O14" s="433"/>
      <c r="P14" s="433"/>
      <c r="Q14" s="433"/>
    </row>
    <row r="15" spans="1:17" ht="26" x14ac:dyDescent="0.3">
      <c r="A15" s="429" t="s">
        <v>539</v>
      </c>
      <c r="B15" s="429" t="s">
        <v>540</v>
      </c>
      <c r="C15" s="429" t="s">
        <v>547</v>
      </c>
      <c r="D15" s="429" t="s">
        <v>34</v>
      </c>
      <c r="E15" s="429" t="s">
        <v>548</v>
      </c>
      <c r="F15" s="429" t="s">
        <v>201</v>
      </c>
      <c r="G15" s="174" t="s">
        <v>549</v>
      </c>
      <c r="H15" s="429" t="s">
        <v>550</v>
      </c>
      <c r="I15" s="447" t="s">
        <v>637</v>
      </c>
      <c r="J15" s="429" t="s">
        <v>541</v>
      </c>
      <c r="K15" s="429" t="s">
        <v>542</v>
      </c>
      <c r="L15" s="429" t="s">
        <v>543</v>
      </c>
      <c r="M15" s="174" t="s">
        <v>736</v>
      </c>
      <c r="O15" s="433"/>
      <c r="P15" s="433"/>
      <c r="Q15" s="433"/>
    </row>
    <row r="16" spans="1:17" x14ac:dyDescent="0.25">
      <c r="A16" s="288" t="s">
        <v>544</v>
      </c>
      <c r="B16" s="288">
        <f>SUM(B32:B34)</f>
        <v>42</v>
      </c>
      <c r="C16" s="288">
        <f>$F$4*2</f>
        <v>2640</v>
      </c>
      <c r="D16" s="288">
        <v>550</v>
      </c>
      <c r="E16" s="288">
        <f>B16*(C16+D16)</f>
        <v>133980</v>
      </c>
      <c r="F16" s="288">
        <v>1500</v>
      </c>
      <c r="G16">
        <f>B16*F16</f>
        <v>63000</v>
      </c>
      <c r="H16" s="288">
        <f>E16+G16</f>
        <v>196980</v>
      </c>
      <c r="I16" s="288"/>
      <c r="J16" s="288"/>
      <c r="K16" s="288"/>
      <c r="L16" s="288"/>
      <c r="M16">
        <f>J20*P6</f>
        <v>56280</v>
      </c>
    </row>
    <row r="17" spans="1:12" x14ac:dyDescent="0.25">
      <c r="A17" s="288" t="s">
        <v>545</v>
      </c>
      <c r="B17" s="288">
        <f>B36</f>
        <v>3</v>
      </c>
      <c r="C17" s="288">
        <f>$F$4+$F$7</f>
        <v>1925</v>
      </c>
      <c r="D17" s="288">
        <v>550</v>
      </c>
      <c r="E17" s="288">
        <f t="shared" ref="E17:E21" si="1">B17*(C17+D17)</f>
        <v>7425</v>
      </c>
      <c r="F17" s="288">
        <v>1500</v>
      </c>
      <c r="G17" s="282">
        <f t="shared" ref="G17:G21" si="2">B17*F17</f>
        <v>4500</v>
      </c>
      <c r="H17" s="288">
        <f t="shared" ref="H17:H22" si="3">E17+G17</f>
        <v>11925</v>
      </c>
      <c r="I17" s="288"/>
      <c r="J17" s="288"/>
      <c r="K17" s="288"/>
      <c r="L17" s="288"/>
    </row>
    <row r="18" spans="1:12" x14ac:dyDescent="0.25">
      <c r="A18" s="288"/>
      <c r="B18" s="288"/>
      <c r="C18" s="288"/>
      <c r="D18" s="288"/>
      <c r="E18" s="288"/>
      <c r="F18" s="288"/>
      <c r="G18" s="282"/>
      <c r="H18" s="288"/>
      <c r="I18" s="288"/>
      <c r="J18" s="288"/>
      <c r="K18" s="288"/>
      <c r="L18" s="288"/>
    </row>
    <row r="19" spans="1:12" ht="13" x14ac:dyDescent="0.3">
      <c r="A19" s="429" t="s">
        <v>546</v>
      </c>
      <c r="B19" s="288"/>
      <c r="C19" s="288"/>
      <c r="D19" s="288"/>
      <c r="E19" s="288"/>
      <c r="F19" s="288"/>
      <c r="G19" s="282"/>
      <c r="H19" s="288"/>
      <c r="I19" s="288"/>
      <c r="J19" s="288"/>
      <c r="K19" s="288"/>
      <c r="L19" s="288"/>
    </row>
    <row r="20" spans="1:12" x14ac:dyDescent="0.25">
      <c r="A20" s="288" t="s">
        <v>544</v>
      </c>
      <c r="B20" s="288">
        <v>25</v>
      </c>
      <c r="C20" s="288">
        <f>$F$4*2</f>
        <v>2640</v>
      </c>
      <c r="D20" s="288">
        <v>550</v>
      </c>
      <c r="E20" s="288">
        <f t="shared" si="1"/>
        <v>79750</v>
      </c>
      <c r="F20" s="288">
        <v>1500</v>
      </c>
      <c r="G20" s="282">
        <f t="shared" si="2"/>
        <v>37500</v>
      </c>
      <c r="H20" s="288">
        <f t="shared" si="3"/>
        <v>117250</v>
      </c>
      <c r="I20" s="288"/>
      <c r="J20" s="287">
        <f>C20+D20+F20+I20</f>
        <v>4690</v>
      </c>
      <c r="K20" s="288">
        <f>J20*B20</f>
        <v>117250</v>
      </c>
      <c r="L20" s="288"/>
    </row>
    <row r="21" spans="1:12" x14ac:dyDescent="0.25">
      <c r="A21" s="288" t="s">
        <v>545</v>
      </c>
      <c r="B21" s="288">
        <f>B11-B20</f>
        <v>30</v>
      </c>
      <c r="C21" s="288">
        <f>$F$4+$F$7</f>
        <v>1925</v>
      </c>
      <c r="D21" s="288">
        <v>550</v>
      </c>
      <c r="E21" s="288">
        <f t="shared" si="1"/>
        <v>74250</v>
      </c>
      <c r="F21" s="288">
        <v>1500</v>
      </c>
      <c r="G21" s="282">
        <f t="shared" si="2"/>
        <v>45000</v>
      </c>
      <c r="H21" s="288">
        <f t="shared" si="3"/>
        <v>119250</v>
      </c>
      <c r="I21" s="288"/>
      <c r="J21" s="287">
        <f>I21+C21+D21+F21</f>
        <v>3975</v>
      </c>
      <c r="K21" s="288">
        <f>J21*B21</f>
        <v>119250</v>
      </c>
      <c r="L21" s="288"/>
    </row>
    <row r="22" spans="1:12" x14ac:dyDescent="0.25">
      <c r="A22" s="175" t="s">
        <v>745</v>
      </c>
      <c r="B22" s="288"/>
      <c r="C22" s="288"/>
      <c r="D22" s="288"/>
      <c r="E22" s="288">
        <v>-28000</v>
      </c>
      <c r="F22" s="288"/>
      <c r="G22">
        <v>-12000</v>
      </c>
      <c r="H22" s="288">
        <f t="shared" si="3"/>
        <v>-40000</v>
      </c>
      <c r="I22" s="288"/>
      <c r="K22" s="288"/>
      <c r="L22" s="288"/>
    </row>
    <row r="23" spans="1:12" x14ac:dyDescent="0.25">
      <c r="A23" s="288"/>
      <c r="B23" s="288"/>
      <c r="C23" s="288"/>
      <c r="D23" s="288"/>
      <c r="E23" s="288"/>
      <c r="F23" s="288"/>
      <c r="H23" s="288"/>
      <c r="I23" s="288"/>
      <c r="J23" s="288"/>
      <c r="K23" s="288"/>
      <c r="L23" s="288"/>
    </row>
    <row r="24" spans="1:12" x14ac:dyDescent="0.25">
      <c r="A24" s="288" t="s">
        <v>639</v>
      </c>
      <c r="B24" s="288">
        <f>SUM(B16:B23)</f>
        <v>100</v>
      </c>
      <c r="C24" s="288"/>
      <c r="D24" s="288"/>
      <c r="E24" s="637">
        <f>SUM(E16:E23)</f>
        <v>267405</v>
      </c>
      <c r="F24" s="638">
        <f t="shared" ref="F24:G24" si="4">SUM(F16:F23)</f>
        <v>6000</v>
      </c>
      <c r="G24" s="637">
        <f t="shared" si="4"/>
        <v>138000</v>
      </c>
      <c r="H24" s="637">
        <f>SUM(H16:H23)</f>
        <v>405405</v>
      </c>
      <c r="I24" s="633"/>
      <c r="J24" s="633"/>
      <c r="K24" s="637">
        <f>SUM(K20:K23)</f>
        <v>236500</v>
      </c>
      <c r="L24" s="637">
        <f>H24-K24</f>
        <v>168905</v>
      </c>
    </row>
    <row r="28" spans="1:12" x14ac:dyDescent="0.25">
      <c r="K28" s="177" t="s">
        <v>744</v>
      </c>
    </row>
    <row r="30" spans="1:12" x14ac:dyDescent="0.25">
      <c r="K30">
        <f>B16*D16</f>
        <v>23100</v>
      </c>
    </row>
    <row r="31" spans="1:12" ht="13" x14ac:dyDescent="0.3">
      <c r="A31" s="174" t="s">
        <v>597</v>
      </c>
      <c r="B31" s="174" t="s">
        <v>540</v>
      </c>
      <c r="C31" s="174"/>
      <c r="D31" s="174"/>
      <c r="E31" s="174" t="s">
        <v>540</v>
      </c>
      <c r="K31" s="593">
        <f t="shared" ref="K31:K35" si="5">B17*D17</f>
        <v>1650</v>
      </c>
    </row>
    <row r="32" spans="1:12" s="351" customFormat="1" x14ac:dyDescent="0.25">
      <c r="A32" s="351" t="s">
        <v>598</v>
      </c>
      <c r="B32" s="351">
        <v>6</v>
      </c>
      <c r="D32" t="s">
        <v>603</v>
      </c>
      <c r="E32" s="351">
        <v>14</v>
      </c>
      <c r="K32" s="593">
        <f t="shared" si="5"/>
        <v>0</v>
      </c>
    </row>
    <row r="33" spans="1:11" s="351" customFormat="1" x14ac:dyDescent="0.25">
      <c r="A33" s="351" t="s">
        <v>599</v>
      </c>
      <c r="B33" s="351">
        <v>2</v>
      </c>
      <c r="D33" s="351" t="s">
        <v>604</v>
      </c>
      <c r="E33" s="351">
        <v>15</v>
      </c>
      <c r="K33" s="593">
        <f t="shared" si="5"/>
        <v>0</v>
      </c>
    </row>
    <row r="34" spans="1:11" s="351" customFormat="1" x14ac:dyDescent="0.25">
      <c r="A34" s="351" t="s">
        <v>600</v>
      </c>
      <c r="B34" s="351">
        <f>D52</f>
        <v>34</v>
      </c>
      <c r="D34" s="351" t="s">
        <v>605</v>
      </c>
      <c r="E34" s="351">
        <v>10</v>
      </c>
      <c r="K34" s="593">
        <f t="shared" si="5"/>
        <v>13750</v>
      </c>
    </row>
    <row r="35" spans="1:11" s="351" customFormat="1" x14ac:dyDescent="0.25">
      <c r="A35" s="351" t="s">
        <v>601</v>
      </c>
      <c r="B35" s="351">
        <v>0</v>
      </c>
      <c r="D35" s="351" t="s">
        <v>606</v>
      </c>
      <c r="E35" s="351">
        <v>5</v>
      </c>
      <c r="K35" s="593">
        <f t="shared" si="5"/>
        <v>16500</v>
      </c>
    </row>
    <row r="36" spans="1:11" s="351" customFormat="1" x14ac:dyDescent="0.25">
      <c r="A36" s="351" t="s">
        <v>602</v>
      </c>
      <c r="B36" s="351">
        <v>3</v>
      </c>
      <c r="D36" s="351" t="s">
        <v>607</v>
      </c>
      <c r="E36" s="351">
        <v>10</v>
      </c>
      <c r="K36" s="635">
        <f>SUM(K30:K35)</f>
        <v>55000</v>
      </c>
    </row>
    <row r="37" spans="1:11" s="351" customFormat="1" x14ac:dyDescent="0.25">
      <c r="A37" s="351" t="s">
        <v>240</v>
      </c>
      <c r="B37" s="351">
        <f>SUM(B32:B36)</f>
        <v>45</v>
      </c>
      <c r="D37" s="351" t="s">
        <v>240</v>
      </c>
      <c r="E37" s="351">
        <f>SUM(E32:E36)</f>
        <v>54</v>
      </c>
      <c r="K37" s="593"/>
    </row>
    <row r="39" spans="1:11" ht="13" thickBot="1" x14ac:dyDescent="0.3"/>
    <row r="40" spans="1:11" ht="13" x14ac:dyDescent="0.3">
      <c r="A40" s="437" t="s">
        <v>87</v>
      </c>
      <c r="B40" s="438" t="s">
        <v>540</v>
      </c>
      <c r="C40" s="438" t="s">
        <v>619</v>
      </c>
      <c r="D40" s="439" t="s">
        <v>540</v>
      </c>
      <c r="E40" s="357"/>
      <c r="F40" s="357"/>
      <c r="G40" s="357"/>
      <c r="H40" s="357"/>
      <c r="I40" s="357"/>
      <c r="J40" s="357"/>
      <c r="K40" s="357"/>
    </row>
    <row r="41" spans="1:11" ht="14.5" x14ac:dyDescent="0.35">
      <c r="A41" s="431" t="s">
        <v>189</v>
      </c>
      <c r="B41" s="433">
        <v>3</v>
      </c>
      <c r="C41" s="433" t="s">
        <v>86</v>
      </c>
      <c r="D41" s="434">
        <v>9</v>
      </c>
      <c r="E41" s="357"/>
      <c r="F41" s="357"/>
      <c r="G41" s="357"/>
      <c r="H41" s="357"/>
      <c r="I41" s="357"/>
      <c r="J41" s="357"/>
      <c r="K41" s="357"/>
    </row>
    <row r="42" spans="1:11" ht="14.5" x14ac:dyDescent="0.35">
      <c r="A42" s="431" t="s">
        <v>183</v>
      </c>
      <c r="B42" s="433">
        <v>3</v>
      </c>
      <c r="C42" s="433" t="s">
        <v>620</v>
      </c>
      <c r="D42" s="434">
        <v>6</v>
      </c>
      <c r="E42" s="357"/>
      <c r="F42" s="357"/>
      <c r="G42" s="357"/>
      <c r="H42" s="357"/>
      <c r="I42" s="357"/>
      <c r="J42" s="357"/>
      <c r="K42" s="357"/>
    </row>
    <row r="43" spans="1:11" ht="14.5" x14ac:dyDescent="0.35">
      <c r="A43" s="431" t="s">
        <v>296</v>
      </c>
      <c r="B43" s="433">
        <v>2</v>
      </c>
      <c r="C43" s="433" t="s">
        <v>621</v>
      </c>
      <c r="D43" s="434">
        <v>3</v>
      </c>
      <c r="E43" s="357"/>
      <c r="F43" s="357"/>
      <c r="G43" s="357"/>
      <c r="H43" s="357"/>
      <c r="I43" s="357"/>
      <c r="J43" s="357"/>
      <c r="K43" s="357"/>
    </row>
    <row r="44" spans="1:11" ht="14.5" x14ac:dyDescent="0.35">
      <c r="A44" s="431" t="s">
        <v>185</v>
      </c>
      <c r="B44" s="433">
        <v>3</v>
      </c>
      <c r="C44" s="433" t="s">
        <v>622</v>
      </c>
      <c r="D44" s="434">
        <v>4</v>
      </c>
      <c r="E44" s="357"/>
      <c r="F44" s="357"/>
      <c r="G44" s="357"/>
      <c r="H44" s="357"/>
      <c r="I44" s="357"/>
      <c r="J44" s="357"/>
      <c r="K44" s="357"/>
    </row>
    <row r="45" spans="1:11" ht="14.5" x14ac:dyDescent="0.35">
      <c r="A45" s="431" t="s">
        <v>186</v>
      </c>
      <c r="B45" s="433">
        <v>2</v>
      </c>
      <c r="C45" s="433" t="s">
        <v>623</v>
      </c>
      <c r="D45" s="434">
        <v>5</v>
      </c>
      <c r="E45" s="357"/>
      <c r="F45" s="357"/>
      <c r="G45" s="357"/>
      <c r="H45" s="357"/>
      <c r="I45" s="357"/>
      <c r="J45" s="357"/>
      <c r="K45" s="357"/>
    </row>
    <row r="46" spans="1:11" ht="14.5" x14ac:dyDescent="0.35">
      <c r="A46" s="431" t="s">
        <v>558</v>
      </c>
      <c r="B46" s="433">
        <v>5</v>
      </c>
      <c r="C46" s="433" t="s">
        <v>415</v>
      </c>
      <c r="D46" s="434">
        <v>4</v>
      </c>
      <c r="E46" s="357"/>
      <c r="F46" s="357"/>
      <c r="G46" s="357"/>
      <c r="H46" s="357"/>
      <c r="I46" s="357"/>
      <c r="J46" s="357"/>
      <c r="K46" s="357"/>
    </row>
    <row r="47" spans="1:11" ht="14.5" x14ac:dyDescent="0.35">
      <c r="A47" s="431" t="s">
        <v>411</v>
      </c>
      <c r="B47" s="433">
        <v>4</v>
      </c>
      <c r="C47" s="440" t="s">
        <v>624</v>
      </c>
      <c r="D47" s="434">
        <v>3</v>
      </c>
      <c r="E47" s="177" t="s">
        <v>625</v>
      </c>
      <c r="F47" s="357"/>
      <c r="G47" s="357"/>
      <c r="H47" s="357"/>
      <c r="I47" s="357"/>
      <c r="J47" s="357"/>
      <c r="K47" s="357"/>
    </row>
    <row r="48" spans="1:11" ht="14.5" x14ac:dyDescent="0.35">
      <c r="A48" s="431" t="s">
        <v>412</v>
      </c>
      <c r="B48" s="433">
        <v>3</v>
      </c>
      <c r="C48" s="433"/>
      <c r="D48" s="434"/>
      <c r="E48" s="357"/>
      <c r="F48" s="357"/>
      <c r="G48" s="357"/>
      <c r="H48" s="357"/>
      <c r="I48" s="357"/>
      <c r="J48" s="357"/>
      <c r="K48" s="357"/>
    </row>
    <row r="49" spans="1:11" ht="14.5" x14ac:dyDescent="0.35">
      <c r="A49" s="431" t="s">
        <v>413</v>
      </c>
      <c r="B49" s="433">
        <v>4</v>
      </c>
      <c r="C49" s="433"/>
      <c r="D49" s="434"/>
      <c r="E49" s="357"/>
      <c r="F49" s="357"/>
      <c r="G49" s="357"/>
      <c r="H49" s="357"/>
      <c r="I49" s="357"/>
      <c r="J49" s="357"/>
      <c r="K49" s="357"/>
    </row>
    <row r="50" spans="1:11" ht="14.5" x14ac:dyDescent="0.35">
      <c r="A50" s="431" t="s">
        <v>414</v>
      </c>
      <c r="B50" s="433">
        <v>3</v>
      </c>
      <c r="C50" s="433"/>
      <c r="D50" s="434"/>
      <c r="E50" s="357"/>
      <c r="F50" s="357"/>
      <c r="G50" s="357"/>
      <c r="H50" s="357"/>
      <c r="I50" s="357"/>
      <c r="J50" s="357"/>
      <c r="K50" s="357"/>
    </row>
    <row r="51" spans="1:11" ht="15" thickBot="1" x14ac:dyDescent="0.4">
      <c r="A51" s="432" t="s">
        <v>415</v>
      </c>
      <c r="B51" s="435">
        <v>4</v>
      </c>
      <c r="C51" s="435"/>
      <c r="D51" s="436"/>
      <c r="E51" s="357"/>
      <c r="F51" s="357"/>
      <c r="G51" s="357"/>
      <c r="H51" s="357"/>
      <c r="I51" s="357"/>
      <c r="J51" s="357"/>
      <c r="K51" s="357"/>
    </row>
    <row r="52" spans="1:11" x14ac:dyDescent="0.25">
      <c r="B52" s="357"/>
      <c r="C52" s="177" t="s">
        <v>240</v>
      </c>
      <c r="D52" s="357">
        <f>SUM(D41:D51)</f>
        <v>34</v>
      </c>
      <c r="E52" s="357"/>
      <c r="F52" s="357"/>
      <c r="G52" s="357"/>
      <c r="H52" s="357"/>
      <c r="I52" s="357"/>
      <c r="J52" s="357"/>
      <c r="K52" s="357"/>
    </row>
  </sheetData>
  <customSheetViews>
    <customSheetView guid="{106B7A88-9D1E-4D22-9DE1-7E44A908E830}" scale="80" fitToPage="1" topLeftCell="A7">
      <selection activeCell="B34" sqref="B34"/>
      <pageMargins left="0.7" right="0.7" top="0.75" bottom="0.75" header="0.3" footer="0.3"/>
      <pageSetup paperSize="9" scale="41" fitToHeight="0" orientation="landscape" r:id="rId1"/>
    </customSheetView>
    <customSheetView guid="{CF50DB9B-0F8D-41A5-9576-F9345942CE97}" scale="130" topLeftCell="A4">
      <selection activeCell="B13" sqref="B13"/>
      <pageMargins left="0.7" right="0.7" top="0.75" bottom="0.75" header="0.3" footer="0.3"/>
    </customSheetView>
    <customSheetView guid="{B8CD8764-8103-4BA7-A294-F5FED5EA74ED}" scale="130" topLeftCell="A4">
      <selection activeCell="B13" sqref="B13"/>
      <pageMargins left="0.7" right="0.7" top="0.75" bottom="0.75" header="0.3" footer="0.3"/>
    </customSheetView>
    <customSheetView guid="{845F3A43-EF96-4057-9777-D2F2301CC149}" scale="80" showPageBreaks="1" fitToPage="1" topLeftCell="A7">
      <selection activeCell="B34" sqref="B34"/>
      <pageMargins left="0.7" right="0.7" top="0.75" bottom="0.75" header="0.3" footer="0.3"/>
      <pageSetup paperSize="9" scale="41" fitToHeight="0" orientation="landscape" r:id="rId2"/>
    </customSheetView>
  </customSheetViews>
  <pageMargins left="0.7" right="0.7" top="0.75" bottom="0.75" header="0.3" footer="0.3"/>
  <pageSetup paperSize="9" scale="41" fitToHeight="0" orientation="landscape"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002"/>
  <sheetViews>
    <sheetView workbookViewId="0">
      <pane ySplit="1" topLeftCell="A2" activePane="bottomLeft" state="frozen"/>
      <selection pane="bottomLeft" activeCell="N2" sqref="N2"/>
    </sheetView>
  </sheetViews>
  <sheetFormatPr baseColWidth="10" defaultColWidth="17.26953125" defaultRowHeight="15" customHeight="1" x14ac:dyDescent="0.25"/>
  <cols>
    <col min="1" max="1" width="44" customWidth="1"/>
    <col min="2" max="2" width="38.54296875" customWidth="1"/>
    <col min="3" max="8" width="10" customWidth="1"/>
    <col min="9" max="9" width="10" style="399" customWidth="1"/>
    <col min="10" max="10" width="10" style="400" customWidth="1"/>
    <col min="11" max="11" width="10" style="351" customWidth="1"/>
    <col min="12" max="12" width="10" customWidth="1"/>
    <col min="13" max="13" width="10" style="351" customWidth="1"/>
    <col min="14" max="14" width="114.1796875" bestFit="1" customWidth="1"/>
    <col min="15" max="30" width="10" customWidth="1"/>
  </cols>
  <sheetData>
    <row r="1" spans="1:14" ht="12.75" customHeight="1" x14ac:dyDescent="0.3">
      <c r="A1" s="138" t="s">
        <v>344</v>
      </c>
      <c r="B1" s="138" t="s">
        <v>345</v>
      </c>
      <c r="C1" s="138">
        <v>2014</v>
      </c>
      <c r="D1" s="138"/>
      <c r="E1" s="138">
        <v>2015</v>
      </c>
      <c r="F1" s="138"/>
      <c r="G1" s="138">
        <v>2016</v>
      </c>
      <c r="H1" s="392"/>
      <c r="I1" s="395">
        <v>2017</v>
      </c>
      <c r="J1" s="396"/>
      <c r="K1" s="393"/>
      <c r="L1" s="138">
        <v>2018</v>
      </c>
      <c r="M1" s="138">
        <v>2019</v>
      </c>
      <c r="N1" s="138" t="s">
        <v>346</v>
      </c>
    </row>
    <row r="2" spans="1:14" ht="12.75" customHeight="1" x14ac:dyDescent="0.25">
      <c r="A2" s="139" t="s">
        <v>6</v>
      </c>
      <c r="B2" s="139" t="s">
        <v>122</v>
      </c>
      <c r="C2" s="220">
        <v>11.59</v>
      </c>
      <c r="D2" s="220">
        <f>E2-C2</f>
        <v>0.32000000000000028</v>
      </c>
      <c r="E2" s="220">
        <v>11.91</v>
      </c>
      <c r="F2" s="220"/>
      <c r="G2" s="220">
        <v>11.91</v>
      </c>
      <c r="H2" s="233"/>
      <c r="I2" s="397"/>
      <c r="J2" s="398"/>
      <c r="K2" s="394"/>
      <c r="L2" s="220">
        <v>12.45</v>
      </c>
      <c r="M2" s="220"/>
      <c r="N2" s="220" t="s">
        <v>591</v>
      </c>
    </row>
    <row r="3" spans="1:14" ht="15" customHeight="1" x14ac:dyDescent="0.35">
      <c r="A3" s="139" t="s">
        <v>124</v>
      </c>
      <c r="B3" s="140" t="s">
        <v>348</v>
      </c>
      <c r="C3" s="220"/>
      <c r="D3" s="220"/>
      <c r="E3" s="220"/>
      <c r="F3" s="220"/>
      <c r="G3" s="220">
        <v>22</v>
      </c>
      <c r="H3" s="233"/>
      <c r="I3" s="397"/>
      <c r="J3" s="398"/>
      <c r="K3" s="394"/>
      <c r="L3" s="220">
        <v>22</v>
      </c>
      <c r="M3" s="220"/>
      <c r="N3" s="220"/>
    </row>
    <row r="4" spans="1:14" ht="15" customHeight="1" x14ac:dyDescent="0.35">
      <c r="A4" s="139" t="s">
        <v>124</v>
      </c>
      <c r="B4" s="140" t="s">
        <v>349</v>
      </c>
      <c r="C4" s="220"/>
      <c r="D4" s="220"/>
      <c r="E4" s="220"/>
      <c r="F4" s="220"/>
      <c r="G4" s="220">
        <v>18</v>
      </c>
      <c r="H4" s="233"/>
      <c r="I4" s="397"/>
      <c r="J4" s="398"/>
      <c r="K4" s="394"/>
      <c r="L4" s="220">
        <v>18</v>
      </c>
      <c r="M4" s="220"/>
      <c r="N4" s="220"/>
    </row>
    <row r="5" spans="1:14" ht="12.75" customHeight="1" x14ac:dyDescent="0.25">
      <c r="A5" s="139" t="s">
        <v>125</v>
      </c>
      <c r="B5" s="139" t="s">
        <v>126</v>
      </c>
      <c r="C5" s="220">
        <v>6.3</v>
      </c>
      <c r="D5" s="220">
        <f t="shared" ref="D5:D6" si="0">E5-C5</f>
        <v>0.20000000000000018</v>
      </c>
      <c r="E5" s="220">
        <v>6.5</v>
      </c>
      <c r="F5" s="220"/>
      <c r="G5" s="220">
        <v>6.5</v>
      </c>
      <c r="H5" s="233"/>
      <c r="I5" s="397"/>
      <c r="J5" s="398"/>
      <c r="K5" s="394"/>
      <c r="L5" s="220">
        <v>6.7</v>
      </c>
      <c r="M5" s="220"/>
      <c r="N5" s="220" t="s">
        <v>347</v>
      </c>
    </row>
    <row r="6" spans="1:14" ht="12.75" customHeight="1" x14ac:dyDescent="0.25">
      <c r="A6" s="139" t="s">
        <v>127</v>
      </c>
      <c r="B6" s="139" t="s">
        <v>128</v>
      </c>
      <c r="C6" s="220">
        <v>95.6</v>
      </c>
      <c r="D6" s="220">
        <f t="shared" si="0"/>
        <v>2.8700000000000045</v>
      </c>
      <c r="E6" s="220">
        <v>98.47</v>
      </c>
      <c r="F6" s="220"/>
      <c r="G6" s="220">
        <v>98.47</v>
      </c>
      <c r="H6" s="233"/>
      <c r="I6" s="397"/>
      <c r="J6" s="398"/>
      <c r="K6" s="394"/>
      <c r="L6" s="220">
        <f>G6+D6</f>
        <v>101.34</v>
      </c>
      <c r="M6" s="220"/>
      <c r="N6" s="220" t="s">
        <v>347</v>
      </c>
    </row>
    <row r="7" spans="1:14" ht="12.75" customHeight="1" x14ac:dyDescent="0.25">
      <c r="A7" s="139" t="s">
        <v>129</v>
      </c>
      <c r="B7" s="139" t="s">
        <v>350</v>
      </c>
      <c r="C7" s="220">
        <v>120</v>
      </c>
      <c r="D7" s="220"/>
      <c r="E7" s="220">
        <v>120</v>
      </c>
      <c r="F7" s="220"/>
      <c r="G7" s="220">
        <v>80</v>
      </c>
      <c r="H7" s="233"/>
      <c r="I7" s="397"/>
      <c r="J7" s="398"/>
      <c r="K7" s="394"/>
      <c r="L7" s="220">
        <v>80</v>
      </c>
      <c r="M7" s="220"/>
      <c r="N7" s="220"/>
    </row>
    <row r="8" spans="1:14" ht="12.75" customHeight="1" x14ac:dyDescent="0.25">
      <c r="A8" s="139" t="s">
        <v>131</v>
      </c>
      <c r="B8" s="139" t="s">
        <v>351</v>
      </c>
      <c r="C8" s="220">
        <v>100</v>
      </c>
      <c r="D8" s="220"/>
      <c r="E8" s="220">
        <v>100</v>
      </c>
      <c r="F8" s="220"/>
      <c r="G8" s="220">
        <v>100</v>
      </c>
      <c r="H8" s="233"/>
      <c r="I8" s="397"/>
      <c r="J8" s="398"/>
      <c r="K8" s="394"/>
      <c r="L8" s="220">
        <v>100</v>
      </c>
      <c r="M8" s="220"/>
      <c r="N8" s="220"/>
    </row>
    <row r="9" spans="1:14" ht="12.75" customHeight="1" x14ac:dyDescent="0.25">
      <c r="A9" s="139" t="s">
        <v>133</v>
      </c>
      <c r="B9" s="139" t="s">
        <v>134</v>
      </c>
      <c r="C9" s="220">
        <v>50</v>
      </c>
      <c r="D9" s="220"/>
      <c r="E9" s="220">
        <v>50</v>
      </c>
      <c r="F9" s="220"/>
      <c r="G9" s="220">
        <v>50</v>
      </c>
      <c r="H9" s="233"/>
      <c r="I9" s="397"/>
      <c r="J9" s="398"/>
      <c r="K9" s="394"/>
      <c r="L9" s="220">
        <v>50</v>
      </c>
      <c r="M9" s="220"/>
      <c r="N9" s="220"/>
    </row>
    <row r="10" spans="1:14" ht="12.75" customHeight="1" x14ac:dyDescent="0.25">
      <c r="A10" s="139" t="s">
        <v>352</v>
      </c>
      <c r="B10" s="220"/>
      <c r="C10" s="220">
        <v>10.4</v>
      </c>
      <c r="D10" s="220"/>
      <c r="E10" s="220">
        <v>12.3</v>
      </c>
      <c r="F10" s="220"/>
      <c r="G10" s="220">
        <v>11.7</v>
      </c>
      <c r="H10" s="233"/>
      <c r="I10" s="397"/>
      <c r="J10" s="398"/>
      <c r="K10" s="394"/>
      <c r="L10" s="221">
        <f>(C10+E10+G10)/3</f>
        <v>11.466666666666669</v>
      </c>
      <c r="M10" s="221"/>
      <c r="N10" s="220"/>
    </row>
    <row r="11" spans="1:14" ht="12.75" customHeight="1" x14ac:dyDescent="0.25">
      <c r="A11" s="222" t="s">
        <v>353</v>
      </c>
      <c r="B11" s="223">
        <v>1.05</v>
      </c>
      <c r="C11" s="216"/>
      <c r="D11" s="216"/>
      <c r="E11" s="216"/>
      <c r="F11" s="216"/>
      <c r="G11" s="216"/>
      <c r="H11" s="216"/>
      <c r="L11" s="216"/>
      <c r="N11" s="222"/>
    </row>
    <row r="12" spans="1:14" ht="12.75" customHeight="1" x14ac:dyDescent="0.25">
      <c r="A12" s="222"/>
      <c r="B12" s="222"/>
      <c r="C12" s="216"/>
      <c r="D12" s="216"/>
      <c r="E12" s="216"/>
      <c r="F12" s="216"/>
      <c r="G12" s="216"/>
      <c r="H12" s="222" t="s">
        <v>354</v>
      </c>
      <c r="I12" s="401"/>
      <c r="J12" s="371"/>
      <c r="K12" s="222"/>
      <c r="L12" s="216"/>
      <c r="N12" s="222"/>
    </row>
    <row r="13" spans="1:14" ht="12.75" customHeight="1" x14ac:dyDescent="0.25">
      <c r="A13" s="139" t="s">
        <v>138</v>
      </c>
      <c r="B13" s="139" t="s">
        <v>140</v>
      </c>
      <c r="C13" s="220">
        <v>150</v>
      </c>
      <c r="D13" s="220"/>
      <c r="E13" s="220">
        <v>150</v>
      </c>
      <c r="F13" s="220"/>
      <c r="G13" s="141">
        <v>600</v>
      </c>
      <c r="H13" s="233">
        <f t="shared" ref="H13:H25" si="1">G13*$B$11</f>
        <v>630</v>
      </c>
      <c r="I13" s="397"/>
      <c r="J13" s="398"/>
      <c r="K13" s="394"/>
      <c r="L13" s="220">
        <f t="shared" ref="L13:L14" si="2">G13*$B$11</f>
        <v>630</v>
      </c>
      <c r="M13" s="220"/>
      <c r="N13" s="224" t="s">
        <v>355</v>
      </c>
    </row>
    <row r="14" spans="1:14" ht="12.75" customHeight="1" x14ac:dyDescent="0.25">
      <c r="A14" s="139" t="s">
        <v>141</v>
      </c>
      <c r="B14" s="139" t="s">
        <v>140</v>
      </c>
      <c r="C14" s="220">
        <v>100</v>
      </c>
      <c r="D14" s="220"/>
      <c r="E14" s="220">
        <v>100</v>
      </c>
      <c r="F14" s="220"/>
      <c r="G14" s="141">
        <v>0</v>
      </c>
      <c r="H14" s="233">
        <f t="shared" si="1"/>
        <v>0</v>
      </c>
      <c r="I14" s="397"/>
      <c r="J14" s="398"/>
      <c r="K14" s="394"/>
      <c r="L14" s="220">
        <f t="shared" si="2"/>
        <v>0</v>
      </c>
      <c r="M14" s="220"/>
      <c r="N14" s="220" t="s">
        <v>515</v>
      </c>
    </row>
    <row r="15" spans="1:14" ht="12.75" customHeight="1" x14ac:dyDescent="0.25">
      <c r="A15" s="139" t="s">
        <v>142</v>
      </c>
      <c r="B15" s="139" t="s">
        <v>140</v>
      </c>
      <c r="C15" s="220">
        <v>500</v>
      </c>
      <c r="D15" s="220"/>
      <c r="E15" s="220">
        <v>500</v>
      </c>
      <c r="F15" s="220"/>
      <c r="G15" s="141">
        <v>600</v>
      </c>
      <c r="H15" s="233">
        <f t="shared" si="1"/>
        <v>630</v>
      </c>
      <c r="I15" s="397"/>
      <c r="J15" s="398"/>
      <c r="K15" s="394"/>
      <c r="L15" s="220">
        <v>500</v>
      </c>
      <c r="M15" s="220"/>
      <c r="N15" s="224" t="s">
        <v>356</v>
      </c>
    </row>
    <row r="16" spans="1:14" ht="12.75" customHeight="1" x14ac:dyDescent="0.25">
      <c r="A16" s="139" t="s">
        <v>143</v>
      </c>
      <c r="B16" s="139" t="s">
        <v>144</v>
      </c>
      <c r="C16" s="220">
        <v>300</v>
      </c>
      <c r="D16" s="220"/>
      <c r="E16" s="220">
        <v>550</v>
      </c>
      <c r="F16" s="220"/>
      <c r="G16" s="141">
        <v>550</v>
      </c>
      <c r="H16" s="233">
        <f t="shared" si="1"/>
        <v>577.5</v>
      </c>
      <c r="I16" s="397"/>
      <c r="J16" s="398"/>
      <c r="K16" s="394"/>
      <c r="L16" s="220">
        <v>580</v>
      </c>
      <c r="M16" s="220"/>
      <c r="N16" s="220" t="s">
        <v>357</v>
      </c>
    </row>
    <row r="17" spans="1:15" ht="12.75" customHeight="1" x14ac:dyDescent="0.25">
      <c r="A17" s="139" t="s">
        <v>145</v>
      </c>
      <c r="B17" s="139" t="s">
        <v>146</v>
      </c>
      <c r="C17" s="220">
        <v>600</v>
      </c>
      <c r="D17" s="220"/>
      <c r="E17" s="220">
        <v>700</v>
      </c>
      <c r="F17" s="220"/>
      <c r="G17" s="141">
        <v>700</v>
      </c>
      <c r="H17" s="233">
        <f t="shared" si="1"/>
        <v>735</v>
      </c>
      <c r="I17" s="397"/>
      <c r="J17" s="398"/>
      <c r="K17" s="394"/>
      <c r="L17" s="220">
        <f>G17*$B$11</f>
        <v>735</v>
      </c>
      <c r="M17" s="220"/>
      <c r="N17" s="220"/>
      <c r="O17" s="216"/>
    </row>
    <row r="18" spans="1:15" ht="12.75" customHeight="1" x14ac:dyDescent="0.25">
      <c r="A18" s="139" t="s">
        <v>147</v>
      </c>
      <c r="B18" s="139" t="s">
        <v>144</v>
      </c>
      <c r="C18" s="220">
        <v>300</v>
      </c>
      <c r="D18" s="220"/>
      <c r="E18" s="220">
        <v>550</v>
      </c>
      <c r="F18" s="220"/>
      <c r="G18" s="141">
        <v>550</v>
      </c>
      <c r="H18" s="233">
        <f t="shared" si="1"/>
        <v>577.5</v>
      </c>
      <c r="I18" s="397"/>
      <c r="J18" s="398"/>
      <c r="K18" s="394"/>
      <c r="L18" s="220">
        <v>750</v>
      </c>
      <c r="M18" s="220"/>
      <c r="N18" s="224" t="s">
        <v>358</v>
      </c>
      <c r="O18" s="216"/>
    </row>
    <row r="19" spans="1:15" ht="12.75" customHeight="1" x14ac:dyDescent="0.25">
      <c r="A19" s="139" t="s">
        <v>148</v>
      </c>
      <c r="B19" s="139" t="s">
        <v>144</v>
      </c>
      <c r="C19" s="220">
        <v>600</v>
      </c>
      <c r="D19" s="220"/>
      <c r="E19" s="220">
        <v>750</v>
      </c>
      <c r="F19" s="220"/>
      <c r="G19" s="141">
        <v>750</v>
      </c>
      <c r="H19" s="233">
        <f t="shared" si="1"/>
        <v>787.5</v>
      </c>
      <c r="I19" s="397"/>
      <c r="J19" s="398"/>
      <c r="K19" s="394"/>
      <c r="L19" s="220">
        <v>790</v>
      </c>
      <c r="M19" s="220"/>
      <c r="N19" s="220"/>
      <c r="O19" s="216"/>
    </row>
    <row r="20" spans="1:15" ht="25.5" customHeight="1" x14ac:dyDescent="0.25">
      <c r="A20" s="139" t="s">
        <v>149</v>
      </c>
      <c r="B20" s="139" t="s">
        <v>144</v>
      </c>
      <c r="C20" s="220">
        <v>300</v>
      </c>
      <c r="D20" s="220"/>
      <c r="E20" s="220">
        <v>550</v>
      </c>
      <c r="F20" s="220"/>
      <c r="G20" s="141">
        <v>350</v>
      </c>
      <c r="H20" s="233">
        <f t="shared" si="1"/>
        <v>367.5</v>
      </c>
      <c r="I20" s="397"/>
      <c r="J20" s="398"/>
      <c r="K20" s="394"/>
      <c r="L20" s="220">
        <v>580</v>
      </c>
      <c r="M20" s="220"/>
      <c r="N20" s="225" t="s">
        <v>359</v>
      </c>
      <c r="O20" s="216"/>
    </row>
    <row r="21" spans="1:15" ht="12.75" customHeight="1" x14ac:dyDescent="0.25">
      <c r="A21" s="139" t="s">
        <v>150</v>
      </c>
      <c r="B21" s="139" t="s">
        <v>144</v>
      </c>
      <c r="C21" s="220">
        <v>300</v>
      </c>
      <c r="D21" s="220"/>
      <c r="E21" s="220">
        <v>550</v>
      </c>
      <c r="F21" s="220"/>
      <c r="G21" s="141">
        <v>550</v>
      </c>
      <c r="H21" s="233">
        <f t="shared" si="1"/>
        <v>577.5</v>
      </c>
      <c r="I21" s="397"/>
      <c r="J21" s="398"/>
      <c r="K21" s="394"/>
      <c r="L21" s="220">
        <v>580</v>
      </c>
      <c r="M21" s="220"/>
      <c r="N21" s="220"/>
      <c r="O21" s="216"/>
    </row>
    <row r="22" spans="1:15" ht="12.75" customHeight="1" x14ac:dyDescent="0.25">
      <c r="A22" s="139" t="s">
        <v>151</v>
      </c>
      <c r="B22" s="139" t="s">
        <v>144</v>
      </c>
      <c r="C22" s="220">
        <v>600</v>
      </c>
      <c r="D22" s="220"/>
      <c r="E22" s="220">
        <v>750</v>
      </c>
      <c r="F22" s="220"/>
      <c r="G22" s="141">
        <v>800</v>
      </c>
      <c r="H22" s="233">
        <f t="shared" si="1"/>
        <v>840</v>
      </c>
      <c r="I22" s="397"/>
      <c r="J22" s="398"/>
      <c r="K22" s="394"/>
      <c r="L22" s="220">
        <f t="shared" ref="L22:L24" si="3">G22*$B$11</f>
        <v>840</v>
      </c>
      <c r="M22" s="220"/>
      <c r="N22" s="220"/>
      <c r="O22" s="216"/>
    </row>
    <row r="23" spans="1:15" ht="12.75" customHeight="1" x14ac:dyDescent="0.25">
      <c r="A23" s="226" t="s">
        <v>152</v>
      </c>
      <c r="B23" s="139"/>
      <c r="C23" s="220"/>
      <c r="D23" s="220"/>
      <c r="E23" s="220"/>
      <c r="F23" s="220"/>
      <c r="G23" s="227">
        <v>500</v>
      </c>
      <c r="H23" s="233">
        <f t="shared" si="1"/>
        <v>525</v>
      </c>
      <c r="I23" s="397"/>
      <c r="J23" s="398"/>
      <c r="K23" s="394"/>
      <c r="L23" s="220">
        <f t="shared" si="3"/>
        <v>525</v>
      </c>
      <c r="M23" s="220"/>
      <c r="N23" s="220"/>
      <c r="O23" s="216"/>
    </row>
    <row r="24" spans="1:15" ht="12.75" customHeight="1" x14ac:dyDescent="0.25">
      <c r="A24" s="139" t="s">
        <v>153</v>
      </c>
      <c r="B24" s="139" t="s">
        <v>144</v>
      </c>
      <c r="C24" s="220">
        <v>600</v>
      </c>
      <c r="D24" s="220"/>
      <c r="E24" s="220">
        <v>750</v>
      </c>
      <c r="F24" s="220"/>
      <c r="G24" s="141">
        <v>800</v>
      </c>
      <c r="H24" s="233">
        <f t="shared" si="1"/>
        <v>840</v>
      </c>
      <c r="I24" s="397"/>
      <c r="J24" s="398"/>
      <c r="K24" s="394"/>
      <c r="L24" s="220">
        <f t="shared" si="3"/>
        <v>840</v>
      </c>
      <c r="M24" s="220"/>
      <c r="N24" s="220"/>
      <c r="O24" s="216"/>
    </row>
    <row r="25" spans="1:15" ht="12.75" customHeight="1" x14ac:dyDescent="0.25">
      <c r="A25" s="139" t="s">
        <v>154</v>
      </c>
      <c r="B25" s="139" t="s">
        <v>144</v>
      </c>
      <c r="C25" s="220">
        <v>1500</v>
      </c>
      <c r="D25" s="220"/>
      <c r="E25" s="220">
        <v>1750</v>
      </c>
      <c r="F25" s="220"/>
      <c r="G25" s="141">
        <v>2000</v>
      </c>
      <c r="H25" s="233">
        <f t="shared" si="1"/>
        <v>2100</v>
      </c>
      <c r="I25" s="397"/>
      <c r="J25" s="398"/>
      <c r="K25" s="394"/>
      <c r="L25" s="227">
        <f>G25+700</f>
        <v>2700</v>
      </c>
      <c r="M25" s="227"/>
      <c r="N25" s="224" t="s">
        <v>360</v>
      </c>
      <c r="O25" s="216"/>
    </row>
    <row r="26" spans="1:15" ht="12.75" customHeight="1" x14ac:dyDescent="0.25">
      <c r="A26" s="84"/>
      <c r="B26" s="222"/>
      <c r="C26" s="216"/>
      <c r="D26" s="216"/>
      <c r="E26" s="216"/>
      <c r="F26" s="216"/>
      <c r="G26" s="222"/>
      <c r="H26" s="216"/>
      <c r="L26" s="216"/>
      <c r="N26" s="222" t="s">
        <v>361</v>
      </c>
      <c r="O26" s="216"/>
    </row>
    <row r="27" spans="1:15" ht="13.5" customHeight="1" thickBot="1" x14ac:dyDescent="0.3">
      <c r="A27" s="222" t="s">
        <v>362</v>
      </c>
      <c r="B27" s="222"/>
      <c r="C27" s="216"/>
      <c r="D27" s="216"/>
      <c r="E27" s="216"/>
      <c r="F27" s="216"/>
      <c r="G27" s="216"/>
      <c r="H27" s="216"/>
      <c r="L27" s="216"/>
      <c r="N27" s="222">
        <f>24804/17</f>
        <v>1459.0588235294117</v>
      </c>
      <c r="O27" s="216"/>
    </row>
    <row r="28" spans="1:15" ht="12.75" customHeight="1" x14ac:dyDescent="0.25">
      <c r="A28" s="222"/>
      <c r="B28" s="222"/>
      <c r="C28" s="216"/>
      <c r="D28" s="228">
        <v>2016</v>
      </c>
      <c r="E28" s="229" t="s">
        <v>189</v>
      </c>
      <c r="F28" s="229" t="s">
        <v>280</v>
      </c>
      <c r="G28" s="229">
        <v>1443.92</v>
      </c>
      <c r="H28" s="230">
        <v>716.33</v>
      </c>
      <c r="I28" s="402"/>
      <c r="J28" s="403"/>
      <c r="K28" s="386"/>
      <c r="L28" s="230">
        <v>727.59</v>
      </c>
      <c r="M28" s="386"/>
      <c r="N28" s="231">
        <f t="shared" ref="N28:N30" si="4">L28/G28</f>
        <v>0.50389910798382187</v>
      </c>
      <c r="O28" s="216"/>
    </row>
    <row r="29" spans="1:15" ht="12.75" customHeight="1" x14ac:dyDescent="0.25">
      <c r="A29" s="222"/>
      <c r="B29" s="222"/>
      <c r="C29" s="216"/>
      <c r="D29" s="232"/>
      <c r="E29" s="220"/>
      <c r="F29" s="220" t="s">
        <v>279</v>
      </c>
      <c r="G29" s="220">
        <v>355.48</v>
      </c>
      <c r="H29" s="233">
        <v>173.58</v>
      </c>
      <c r="I29" s="404"/>
      <c r="J29" s="398"/>
      <c r="K29" s="387"/>
      <c r="L29" s="233">
        <v>181.9</v>
      </c>
      <c r="M29" s="387"/>
      <c r="N29" s="234">
        <f t="shared" si="4"/>
        <v>0.51170248677844044</v>
      </c>
      <c r="O29" s="216"/>
    </row>
    <row r="30" spans="1:15" ht="13.5" customHeight="1" thickBot="1" x14ac:dyDescent="0.3">
      <c r="A30" s="222"/>
      <c r="B30" s="222"/>
      <c r="C30" s="216"/>
      <c r="D30" s="232"/>
      <c r="E30" s="220" t="s">
        <v>363</v>
      </c>
      <c r="F30" s="220" t="s">
        <v>280</v>
      </c>
      <c r="G30" s="220">
        <v>1205.72</v>
      </c>
      <c r="H30" s="233">
        <v>608.05999999999995</v>
      </c>
      <c r="I30" s="404"/>
      <c r="J30" s="398"/>
      <c r="K30" s="387"/>
      <c r="L30" s="233">
        <v>597.66</v>
      </c>
      <c r="M30" s="388"/>
      <c r="N30" s="235">
        <f t="shared" si="4"/>
        <v>0.49568722423116474</v>
      </c>
      <c r="O30" s="222">
        <f>SUM(N28:N30)/3</f>
        <v>0.50376293966447572</v>
      </c>
    </row>
    <row r="31" spans="1:15" ht="13.5" customHeight="1" thickBot="1" x14ac:dyDescent="0.3">
      <c r="A31" s="222"/>
      <c r="B31" s="222"/>
      <c r="C31" s="216"/>
      <c r="D31" s="236"/>
      <c r="E31" s="237"/>
      <c r="F31" s="237"/>
      <c r="G31" s="237"/>
      <c r="H31" s="238"/>
      <c r="I31" s="405"/>
      <c r="J31" s="406"/>
      <c r="K31" s="389"/>
      <c r="L31" s="238"/>
      <c r="M31" s="367"/>
      <c r="N31" s="239" t="s">
        <v>364</v>
      </c>
      <c r="O31" s="216"/>
    </row>
    <row r="32" spans="1:15" ht="12.75" customHeight="1" x14ac:dyDescent="0.25">
      <c r="A32" s="222"/>
      <c r="B32" s="222"/>
      <c r="C32" s="216"/>
      <c r="D32" s="228">
        <v>2015</v>
      </c>
      <c r="E32" s="229" t="s">
        <v>189</v>
      </c>
      <c r="F32" s="229" t="s">
        <v>280</v>
      </c>
      <c r="G32" s="229">
        <v>1333.92</v>
      </c>
      <c r="H32" s="230">
        <v>606.33000000000004</v>
      </c>
      <c r="I32" s="402"/>
      <c r="J32" s="403"/>
      <c r="K32" s="386"/>
      <c r="L32" s="230">
        <v>727.59</v>
      </c>
      <c r="M32" s="386"/>
      <c r="N32" s="231">
        <f t="shared" ref="N32:N37" si="5">L32/G32</f>
        <v>0.54545250089960418</v>
      </c>
      <c r="O32" s="216"/>
    </row>
    <row r="33" spans="1:14" ht="12.75" customHeight="1" x14ac:dyDescent="0.25">
      <c r="A33" s="222"/>
      <c r="B33" s="222"/>
      <c r="C33" s="216"/>
      <c r="D33" s="232"/>
      <c r="E33" s="220"/>
      <c r="F33" s="220" t="s">
        <v>279</v>
      </c>
      <c r="G33" s="220">
        <v>333.48</v>
      </c>
      <c r="H33" s="233">
        <v>151.58000000000001</v>
      </c>
      <c r="I33" s="404"/>
      <c r="J33" s="398"/>
      <c r="K33" s="387"/>
      <c r="L33" s="233">
        <v>181.9</v>
      </c>
      <c r="M33" s="387"/>
      <c r="N33" s="234">
        <f t="shared" si="5"/>
        <v>0.54545999760105557</v>
      </c>
    </row>
    <row r="34" spans="1:14" ht="13.5" customHeight="1" thickBot="1" x14ac:dyDescent="0.3">
      <c r="A34" s="222"/>
      <c r="B34" s="222"/>
      <c r="C34" s="216"/>
      <c r="D34" s="236"/>
      <c r="E34" s="237" t="s">
        <v>363</v>
      </c>
      <c r="F34" s="237" t="s">
        <v>280</v>
      </c>
      <c r="G34" s="237">
        <v>1095.72</v>
      </c>
      <c r="H34" s="238">
        <v>498.06</v>
      </c>
      <c r="I34" s="405"/>
      <c r="J34" s="406"/>
      <c r="K34" s="389"/>
      <c r="L34" s="238">
        <v>597.66</v>
      </c>
      <c r="M34" s="389"/>
      <c r="N34" s="235">
        <f t="shared" si="5"/>
        <v>0.54544956740773187</v>
      </c>
    </row>
    <row r="35" spans="1:14" ht="12.75" customHeight="1" x14ac:dyDescent="0.25">
      <c r="A35" s="222"/>
      <c r="B35" s="222"/>
      <c r="C35" s="216"/>
      <c r="D35" s="228">
        <v>2014</v>
      </c>
      <c r="E35" s="229" t="s">
        <v>189</v>
      </c>
      <c r="F35" s="229" t="s">
        <v>280</v>
      </c>
      <c r="G35" s="229">
        <v>1294.72</v>
      </c>
      <c r="H35" s="230">
        <v>588.51</v>
      </c>
      <c r="I35" s="402"/>
      <c r="J35" s="403"/>
      <c r="K35" s="386"/>
      <c r="L35" s="230">
        <v>706.21</v>
      </c>
      <c r="M35" s="390"/>
      <c r="N35" s="240">
        <f t="shared" si="5"/>
        <v>0.54545384330202673</v>
      </c>
    </row>
    <row r="36" spans="1:14" ht="12.75" customHeight="1" x14ac:dyDescent="0.25">
      <c r="A36" s="222"/>
      <c r="B36" s="222"/>
      <c r="C36" s="216"/>
      <c r="D36" s="232"/>
      <c r="E36" s="220"/>
      <c r="F36" s="220" t="s">
        <v>279</v>
      </c>
      <c r="G36" s="220">
        <v>323.68</v>
      </c>
      <c r="H36" s="233">
        <v>147.13</v>
      </c>
      <c r="I36" s="404"/>
      <c r="J36" s="398"/>
      <c r="K36" s="387"/>
      <c r="L36" s="233">
        <v>176.55</v>
      </c>
      <c r="M36" s="387"/>
      <c r="N36" s="234">
        <f t="shared" si="5"/>
        <v>0.54544611962432032</v>
      </c>
    </row>
    <row r="37" spans="1:14" ht="13.5" customHeight="1" thickBot="1" x14ac:dyDescent="0.3">
      <c r="A37" s="222"/>
      <c r="B37" s="222"/>
      <c r="C37" s="216"/>
      <c r="D37" s="236"/>
      <c r="E37" s="237" t="s">
        <v>363</v>
      </c>
      <c r="F37" s="237" t="s">
        <v>280</v>
      </c>
      <c r="G37" s="237">
        <v>1063.52</v>
      </c>
      <c r="H37" s="238">
        <v>483.42</v>
      </c>
      <c r="I37" s="405"/>
      <c r="J37" s="406"/>
      <c r="K37" s="389"/>
      <c r="L37" s="238">
        <v>580.1</v>
      </c>
      <c r="M37" s="389"/>
      <c r="N37" s="235">
        <f t="shared" si="5"/>
        <v>0.54545283586580418</v>
      </c>
    </row>
    <row r="38" spans="1:14" ht="12.75" customHeight="1" x14ac:dyDescent="0.25">
      <c r="A38" s="222"/>
      <c r="B38" s="222"/>
      <c r="C38" s="216"/>
      <c r="D38" s="216"/>
      <c r="E38" s="216"/>
      <c r="F38" s="216"/>
      <c r="G38" s="216"/>
      <c r="H38" s="216"/>
      <c r="L38" s="216"/>
      <c r="N38" s="222"/>
    </row>
    <row r="39" spans="1:14" ht="12.75" customHeight="1" x14ac:dyDescent="0.25">
      <c r="A39" s="222"/>
      <c r="B39" s="222"/>
      <c r="C39" s="216"/>
      <c r="D39" s="216"/>
      <c r="E39" s="216"/>
      <c r="F39" s="216"/>
      <c r="G39" s="216"/>
      <c r="H39" s="216"/>
      <c r="L39" s="216"/>
      <c r="N39" s="222"/>
    </row>
    <row r="40" spans="1:14" ht="12.75" customHeight="1" x14ac:dyDescent="0.3">
      <c r="A40" s="76" t="s">
        <v>178</v>
      </c>
      <c r="B40" s="222"/>
      <c r="C40" s="216"/>
      <c r="D40" s="216"/>
      <c r="E40" s="216"/>
      <c r="F40" s="216"/>
      <c r="G40" s="216"/>
      <c r="H40" s="216"/>
      <c r="L40" s="216"/>
      <c r="N40" s="222"/>
    </row>
    <row r="41" spans="1:14" ht="12.75" customHeight="1" x14ac:dyDescent="0.25">
      <c r="A41" s="79" t="s">
        <v>179</v>
      </c>
      <c r="B41" s="85" t="s">
        <v>180</v>
      </c>
      <c r="C41" s="216"/>
      <c r="D41" s="216"/>
      <c r="E41" s="216"/>
      <c r="F41" s="216"/>
      <c r="G41" s="180">
        <v>9822.4649838000005</v>
      </c>
      <c r="H41" s="216"/>
      <c r="L41" s="216"/>
      <c r="N41" s="241" t="s">
        <v>365</v>
      </c>
    </row>
    <row r="42" spans="1:14" ht="12.75" customHeight="1" x14ac:dyDescent="0.25">
      <c r="A42" s="79" t="s">
        <v>183</v>
      </c>
      <c r="B42" s="85" t="s">
        <v>180</v>
      </c>
      <c r="C42" s="216"/>
      <c r="D42" s="216"/>
      <c r="E42" s="216"/>
      <c r="F42" s="216"/>
      <c r="G42" s="180">
        <v>5378.9689196999998</v>
      </c>
      <c r="H42" s="216"/>
      <c r="L42" s="216"/>
      <c r="N42" s="222" t="s">
        <v>366</v>
      </c>
    </row>
    <row r="43" spans="1:14" ht="12.75" customHeight="1" x14ac:dyDescent="0.25">
      <c r="A43" s="79" t="s">
        <v>184</v>
      </c>
      <c r="B43" s="85" t="s">
        <v>126</v>
      </c>
      <c r="C43" s="216"/>
      <c r="D43" s="216"/>
      <c r="E43" s="222">
        <v>3.15</v>
      </c>
      <c r="F43" s="216"/>
      <c r="G43" s="142">
        <v>3.25</v>
      </c>
      <c r="H43" s="216"/>
      <c r="L43" s="222">
        <v>3.25</v>
      </c>
      <c r="M43" s="222"/>
      <c r="N43" s="222" t="s">
        <v>367</v>
      </c>
    </row>
    <row r="44" spans="1:14" ht="12.75" customHeight="1" x14ac:dyDescent="0.25">
      <c r="A44" s="79" t="s">
        <v>185</v>
      </c>
      <c r="B44" s="85" t="s">
        <v>126</v>
      </c>
      <c r="C44" s="216"/>
      <c r="D44" s="216"/>
      <c r="E44" s="222">
        <v>6.3</v>
      </c>
      <c r="F44" s="216"/>
      <c r="G44" s="142">
        <v>6.4962499999999999</v>
      </c>
      <c r="H44" s="216"/>
      <c r="L44" s="222">
        <v>6.5</v>
      </c>
      <c r="M44" s="222"/>
      <c r="N44" s="222"/>
    </row>
    <row r="45" spans="1:14" ht="12.75" customHeight="1" x14ac:dyDescent="0.25">
      <c r="A45" s="81" t="s">
        <v>186</v>
      </c>
      <c r="B45" s="100" t="s">
        <v>126</v>
      </c>
      <c r="C45" s="216"/>
      <c r="D45" s="216"/>
      <c r="E45" s="222">
        <v>3.15</v>
      </c>
      <c r="F45" s="216"/>
      <c r="G45" s="143">
        <v>3.2671428599999999</v>
      </c>
      <c r="H45" s="216"/>
      <c r="L45" s="222">
        <v>3.27</v>
      </c>
      <c r="M45" s="222"/>
      <c r="N45" s="222"/>
    </row>
    <row r="46" spans="1:14" ht="12.75" customHeight="1" x14ac:dyDescent="0.25">
      <c r="A46" s="222"/>
      <c r="B46" s="100" t="s">
        <v>187</v>
      </c>
      <c r="C46" s="216"/>
      <c r="D46" s="216"/>
      <c r="E46" s="216"/>
      <c r="F46" s="216"/>
      <c r="G46" s="216"/>
      <c r="H46" s="216"/>
      <c r="L46" s="216"/>
      <c r="N46" s="222"/>
    </row>
    <row r="47" spans="1:14" ht="12.75" customHeight="1" x14ac:dyDescent="0.25">
      <c r="A47" s="222"/>
      <c r="B47" s="222"/>
      <c r="C47" s="216"/>
      <c r="D47" s="216"/>
      <c r="E47" s="216"/>
      <c r="F47" s="216"/>
      <c r="G47" s="216"/>
      <c r="H47" s="216"/>
      <c r="L47" s="216"/>
      <c r="N47" s="222"/>
    </row>
    <row r="48" spans="1:14" ht="12.75" customHeight="1" x14ac:dyDescent="0.25">
      <c r="A48" s="222"/>
      <c r="B48" s="222"/>
      <c r="C48" s="216"/>
      <c r="D48" s="216"/>
      <c r="E48" s="216"/>
      <c r="F48" s="216"/>
      <c r="G48" s="216"/>
      <c r="H48" s="216"/>
      <c r="L48" s="216"/>
      <c r="N48" s="222"/>
    </row>
    <row r="49" spans="1:14" ht="12.75" customHeight="1" x14ac:dyDescent="0.25">
      <c r="A49" s="222"/>
      <c r="B49" s="222"/>
      <c r="C49" s="216"/>
      <c r="D49" s="216"/>
      <c r="E49" s="216"/>
      <c r="F49" s="216"/>
      <c r="G49" s="216"/>
      <c r="H49" s="216"/>
      <c r="L49" s="216"/>
      <c r="N49" s="222"/>
    </row>
    <row r="50" spans="1:14" ht="12.75" customHeight="1" x14ac:dyDescent="0.25">
      <c r="A50" s="222"/>
      <c r="B50" s="222"/>
      <c r="C50" s="216"/>
      <c r="D50" s="216"/>
      <c r="E50" s="216"/>
      <c r="F50" s="216"/>
      <c r="G50" s="216"/>
      <c r="H50" s="216"/>
      <c r="L50" s="216"/>
      <c r="N50" s="222"/>
    </row>
    <row r="51" spans="1:14" ht="12.75" customHeight="1" x14ac:dyDescent="0.25">
      <c r="A51" s="222"/>
      <c r="B51" s="222"/>
      <c r="C51" s="216"/>
      <c r="D51" s="216"/>
      <c r="E51" s="216"/>
      <c r="F51" s="216"/>
      <c r="G51" s="216"/>
      <c r="H51" s="216"/>
      <c r="L51" s="216"/>
      <c r="N51" s="222"/>
    </row>
    <row r="52" spans="1:14" ht="12.75" customHeight="1" x14ac:dyDescent="0.25">
      <c r="A52" s="222"/>
      <c r="B52" s="222"/>
      <c r="C52" s="216"/>
      <c r="D52" s="216"/>
      <c r="E52" s="216"/>
      <c r="F52" s="216"/>
      <c r="G52" s="216"/>
      <c r="H52" s="216"/>
      <c r="L52" s="216"/>
      <c r="N52" s="222"/>
    </row>
    <row r="53" spans="1:14" ht="12.75" customHeight="1" x14ac:dyDescent="0.25">
      <c r="A53" s="222"/>
      <c r="B53" s="222"/>
      <c r="C53" s="216"/>
      <c r="D53" s="216"/>
      <c r="E53" s="216"/>
      <c r="F53" s="216"/>
      <c r="G53" s="216"/>
      <c r="H53" s="216"/>
      <c r="L53" s="216"/>
      <c r="N53" s="222"/>
    </row>
    <row r="54" spans="1:14" ht="12.75" customHeight="1" x14ac:dyDescent="0.25">
      <c r="A54" s="222"/>
      <c r="B54" s="222"/>
      <c r="C54" s="216"/>
      <c r="D54" s="216"/>
      <c r="E54" s="216"/>
      <c r="F54" s="216"/>
      <c r="G54" s="216"/>
      <c r="H54" s="216"/>
      <c r="L54" s="216"/>
      <c r="N54" s="222"/>
    </row>
    <row r="55" spans="1:14" ht="12.75" customHeight="1" x14ac:dyDescent="0.25">
      <c r="A55" s="222"/>
      <c r="B55" s="222"/>
      <c r="C55" s="216"/>
      <c r="D55" s="216"/>
      <c r="E55" s="216"/>
      <c r="F55" s="216"/>
      <c r="G55" s="216"/>
      <c r="H55" s="216"/>
      <c r="L55" s="216"/>
      <c r="N55" s="222"/>
    </row>
    <row r="56" spans="1:14" ht="12.75" customHeight="1" x14ac:dyDescent="0.3">
      <c r="A56" s="105" t="s">
        <v>188</v>
      </c>
      <c r="B56" s="103"/>
      <c r="C56" s="115"/>
      <c r="D56" s="216"/>
      <c r="E56" s="216"/>
      <c r="F56" s="216"/>
      <c r="G56" s="216"/>
      <c r="H56" s="216"/>
      <c r="L56" s="216"/>
      <c r="N56" s="222"/>
    </row>
    <row r="57" spans="1:14" ht="12.75" customHeight="1" x14ac:dyDescent="0.25">
      <c r="A57" s="78" t="s">
        <v>189</v>
      </c>
      <c r="B57" s="181" t="s">
        <v>368</v>
      </c>
      <c r="C57" s="116"/>
      <c r="D57" s="216"/>
      <c r="E57" s="222">
        <v>90000</v>
      </c>
      <c r="F57" s="216"/>
      <c r="G57" s="181">
        <v>95000</v>
      </c>
      <c r="H57" s="222">
        <f t="shared" ref="H57:H62" si="6">G57*$B$11</f>
        <v>99750</v>
      </c>
      <c r="I57" s="401"/>
      <c r="J57" s="371"/>
      <c r="K57" s="222"/>
      <c r="L57" s="216"/>
      <c r="N57" s="241" t="s">
        <v>369</v>
      </c>
    </row>
    <row r="58" spans="1:14" ht="12.75" customHeight="1" x14ac:dyDescent="0.25">
      <c r="A58" s="78" t="s">
        <v>183</v>
      </c>
      <c r="B58" s="181"/>
      <c r="C58" s="116"/>
      <c r="D58" s="216"/>
      <c r="E58" s="222">
        <v>60000</v>
      </c>
      <c r="F58" s="216"/>
      <c r="G58" s="181">
        <v>65000</v>
      </c>
      <c r="H58" s="222">
        <f t="shared" si="6"/>
        <v>68250</v>
      </c>
      <c r="I58" s="401"/>
      <c r="J58" s="371"/>
      <c r="K58" s="222"/>
      <c r="L58" s="216"/>
      <c r="N58" s="222"/>
    </row>
    <row r="59" spans="1:14" ht="15" customHeight="1" x14ac:dyDescent="0.35">
      <c r="A59" s="32" t="s">
        <v>191</v>
      </c>
      <c r="B59" s="181"/>
      <c r="C59" s="116"/>
      <c r="D59" s="216"/>
      <c r="E59" s="222">
        <v>15000</v>
      </c>
      <c r="F59" s="216"/>
      <c r="G59" s="181">
        <v>15000</v>
      </c>
      <c r="H59" s="222">
        <f t="shared" si="6"/>
        <v>15750</v>
      </c>
      <c r="I59" s="401"/>
      <c r="J59" s="371"/>
      <c r="K59" s="222"/>
      <c r="L59" s="216"/>
      <c r="N59" s="222"/>
    </row>
    <row r="60" spans="1:14" ht="15" customHeight="1" x14ac:dyDescent="0.35">
      <c r="A60" s="32" t="s">
        <v>192</v>
      </c>
      <c r="B60" s="181"/>
      <c r="C60" s="116"/>
      <c r="D60" s="216"/>
      <c r="E60" s="222">
        <v>30000</v>
      </c>
      <c r="F60" s="216"/>
      <c r="G60" s="181">
        <v>30000</v>
      </c>
      <c r="H60" s="222">
        <f t="shared" si="6"/>
        <v>31500</v>
      </c>
      <c r="I60" s="401"/>
      <c r="J60" s="371"/>
      <c r="K60" s="222"/>
      <c r="L60" s="216"/>
      <c r="N60" s="222"/>
    </row>
    <row r="61" spans="1:14" ht="15" customHeight="1" x14ac:dyDescent="0.35">
      <c r="A61" s="32" t="s">
        <v>186</v>
      </c>
      <c r="B61" s="181"/>
      <c r="C61" s="116"/>
      <c r="D61" s="216"/>
      <c r="E61" s="222">
        <v>40000</v>
      </c>
      <c r="F61" s="216"/>
      <c r="G61" s="181">
        <v>40000</v>
      </c>
      <c r="H61" s="222">
        <f t="shared" si="6"/>
        <v>42000</v>
      </c>
      <c r="I61" s="401"/>
      <c r="J61" s="371"/>
      <c r="K61" s="222"/>
      <c r="L61" s="216"/>
      <c r="N61" s="222"/>
    </row>
    <row r="62" spans="1:14" ht="15" customHeight="1" x14ac:dyDescent="0.35">
      <c r="A62" s="217" t="s">
        <v>184</v>
      </c>
      <c r="B62" s="181"/>
      <c r="C62" s="118"/>
      <c r="D62" s="216"/>
      <c r="E62" s="222">
        <v>10000</v>
      </c>
      <c r="F62" s="216"/>
      <c r="G62" s="181">
        <v>10000</v>
      </c>
      <c r="H62" s="222">
        <f t="shared" si="6"/>
        <v>10500</v>
      </c>
      <c r="I62" s="401"/>
      <c r="J62" s="371"/>
      <c r="K62" s="222"/>
      <c r="L62" s="216"/>
      <c r="N62" s="222"/>
    </row>
    <row r="63" spans="1:14" ht="15" customHeight="1" x14ac:dyDescent="0.35">
      <c r="A63" s="120"/>
      <c r="B63" s="121"/>
      <c r="C63" s="122"/>
      <c r="D63" s="216"/>
      <c r="E63" s="216"/>
      <c r="F63" s="216"/>
      <c r="G63" s="216"/>
      <c r="H63" s="216"/>
      <c r="L63" s="216"/>
      <c r="N63" s="222"/>
    </row>
    <row r="64" spans="1:14" ht="12.75" customHeight="1" x14ac:dyDescent="0.25">
      <c r="A64" s="222"/>
      <c r="B64" s="222"/>
      <c r="C64" s="216"/>
      <c r="D64" s="216"/>
      <c r="E64" s="216"/>
      <c r="F64" s="216"/>
      <c r="G64" s="216"/>
      <c r="H64" s="216"/>
      <c r="L64" s="216"/>
      <c r="N64" s="222"/>
    </row>
    <row r="65" spans="1:14" ht="15" customHeight="1" x14ac:dyDescent="0.3">
      <c r="A65" s="76" t="s">
        <v>193</v>
      </c>
      <c r="B65" s="106"/>
      <c r="C65" s="144"/>
      <c r="D65" s="144"/>
      <c r="E65" s="145"/>
      <c r="F65" s="222"/>
      <c r="G65" s="222"/>
      <c r="H65" s="222"/>
      <c r="I65" s="401"/>
      <c r="J65" s="371"/>
      <c r="K65" s="222"/>
      <c r="L65" s="216"/>
      <c r="N65" s="222"/>
    </row>
    <row r="66" spans="1:14" ht="12.75" customHeight="1" x14ac:dyDescent="0.25">
      <c r="A66" s="79" t="s">
        <v>194</v>
      </c>
      <c r="B66" s="85" t="s">
        <v>196</v>
      </c>
      <c r="C66" s="145"/>
      <c r="D66" s="146"/>
      <c r="E66" s="146">
        <v>1600</v>
      </c>
      <c r="F66" s="222"/>
      <c r="G66" s="146">
        <v>1600</v>
      </c>
      <c r="H66" s="222"/>
      <c r="I66" s="401"/>
      <c r="J66" s="371"/>
      <c r="K66" s="222"/>
      <c r="L66" s="216"/>
      <c r="N66" s="241" t="s">
        <v>370</v>
      </c>
    </row>
    <row r="67" spans="1:14" ht="25.5" customHeight="1" x14ac:dyDescent="0.25">
      <c r="A67" s="79" t="s">
        <v>197</v>
      </c>
      <c r="B67" s="85" t="s">
        <v>196</v>
      </c>
      <c r="C67" s="145"/>
      <c r="D67" s="146"/>
      <c r="E67" s="146">
        <v>1600</v>
      </c>
      <c r="F67" s="222"/>
      <c r="G67" s="146">
        <v>1600</v>
      </c>
      <c r="H67" s="222"/>
      <c r="I67" s="401"/>
      <c r="J67" s="371"/>
      <c r="K67" s="222"/>
      <c r="L67" s="216"/>
      <c r="N67" s="242" t="s">
        <v>371</v>
      </c>
    </row>
    <row r="68" spans="1:14" ht="12.75" customHeight="1" x14ac:dyDescent="0.25">
      <c r="A68" s="81" t="s">
        <v>198</v>
      </c>
      <c r="B68" s="100" t="s">
        <v>196</v>
      </c>
      <c r="C68" s="145"/>
      <c r="D68" s="146"/>
      <c r="E68" s="146">
        <v>2000</v>
      </c>
      <c r="F68" s="222"/>
      <c r="G68" s="146">
        <v>2000</v>
      </c>
      <c r="H68" s="222"/>
      <c r="I68" s="401"/>
      <c r="J68" s="371"/>
      <c r="K68" s="222"/>
      <c r="L68" s="216"/>
      <c r="N68" s="222"/>
    </row>
    <row r="69" spans="1:14" ht="15" customHeight="1" x14ac:dyDescent="0.35">
      <c r="A69" s="217"/>
      <c r="B69" s="217"/>
      <c r="C69" s="2"/>
      <c r="D69" s="2"/>
      <c r="E69" s="2"/>
      <c r="F69" s="222"/>
      <c r="G69" s="222"/>
      <c r="H69" s="222"/>
      <c r="I69" s="401"/>
      <c r="J69" s="371"/>
      <c r="K69" s="222"/>
      <c r="L69" s="216"/>
      <c r="N69" s="222"/>
    </row>
    <row r="70" spans="1:14" ht="15" customHeight="1" x14ac:dyDescent="0.3">
      <c r="A70" s="76" t="s">
        <v>199</v>
      </c>
      <c r="B70" s="106"/>
      <c r="C70" s="144"/>
      <c r="D70" s="144"/>
      <c r="E70" s="145"/>
      <c r="F70" s="222"/>
      <c r="G70" s="222"/>
      <c r="H70" s="222"/>
      <c r="I70" s="401"/>
      <c r="J70" s="371"/>
      <c r="K70" s="222"/>
      <c r="L70" s="216"/>
      <c r="N70" s="222"/>
    </row>
    <row r="71" spans="1:14" ht="12.75" customHeight="1" x14ac:dyDescent="0.25">
      <c r="A71" s="79" t="s">
        <v>194</v>
      </c>
      <c r="B71" s="85" t="s">
        <v>196</v>
      </c>
      <c r="C71" s="145"/>
      <c r="D71" s="147"/>
      <c r="E71" s="147">
        <v>1600</v>
      </c>
      <c r="F71" s="222"/>
      <c r="G71" s="147">
        <v>1600</v>
      </c>
      <c r="H71" s="222"/>
      <c r="I71" s="401"/>
      <c r="J71" s="371"/>
      <c r="K71" s="222"/>
      <c r="L71" s="216"/>
      <c r="N71" s="222"/>
    </row>
    <row r="72" spans="1:14" ht="12.75" customHeight="1" x14ac:dyDescent="0.25">
      <c r="A72" s="79" t="s">
        <v>197</v>
      </c>
      <c r="B72" s="85" t="s">
        <v>196</v>
      </c>
      <c r="C72" s="145"/>
      <c r="D72" s="147"/>
      <c r="E72" s="147">
        <v>1600</v>
      </c>
      <c r="F72" s="222"/>
      <c r="G72" s="147">
        <v>1600</v>
      </c>
      <c r="H72" s="222"/>
      <c r="I72" s="401"/>
      <c r="J72" s="371"/>
      <c r="K72" s="222"/>
      <c r="L72" s="216"/>
      <c r="N72" s="222"/>
    </row>
    <row r="73" spans="1:14" ht="12.75" customHeight="1" x14ac:dyDescent="0.25">
      <c r="A73" s="81" t="s">
        <v>198</v>
      </c>
      <c r="B73" s="100" t="s">
        <v>196</v>
      </c>
      <c r="C73" s="145"/>
      <c r="D73" s="147"/>
      <c r="E73" s="147">
        <v>2000</v>
      </c>
      <c r="F73" s="222"/>
      <c r="G73" s="147">
        <v>2000</v>
      </c>
      <c r="H73" s="222"/>
      <c r="I73" s="401"/>
      <c r="J73" s="371"/>
      <c r="K73" s="222"/>
      <c r="L73" s="216"/>
      <c r="N73" s="222"/>
    </row>
    <row r="74" spans="1:14" ht="12.75" customHeight="1" x14ac:dyDescent="0.25">
      <c r="A74" s="85"/>
      <c r="B74" s="85"/>
      <c r="C74" s="145"/>
      <c r="D74" s="147"/>
      <c r="E74" s="147"/>
      <c r="F74" s="222"/>
      <c r="G74" s="147"/>
      <c r="H74" s="222"/>
      <c r="I74" s="401"/>
      <c r="J74" s="371"/>
      <c r="K74" s="222"/>
      <c r="L74" s="216"/>
      <c r="N74" s="222"/>
    </row>
    <row r="75" spans="1:14" ht="12.75" customHeight="1" x14ac:dyDescent="0.25">
      <c r="A75" s="85"/>
      <c r="B75" s="85"/>
      <c r="C75" s="145"/>
      <c r="D75" s="147"/>
      <c r="E75" s="147"/>
      <c r="F75" s="222"/>
      <c r="G75" s="147"/>
      <c r="H75" s="222"/>
      <c r="I75" s="401"/>
      <c r="J75" s="371"/>
      <c r="K75" s="222"/>
      <c r="L75" s="216"/>
      <c r="N75" s="222"/>
    </row>
    <row r="76" spans="1:14" ht="12.75" customHeight="1" x14ac:dyDescent="0.3">
      <c r="A76" s="76" t="s">
        <v>200</v>
      </c>
      <c r="B76" s="85"/>
      <c r="C76" s="145"/>
      <c r="D76" s="147"/>
      <c r="E76" s="147"/>
      <c r="F76" s="222"/>
      <c r="G76" s="147"/>
      <c r="H76" s="222"/>
      <c r="I76" s="401"/>
      <c r="J76" s="371"/>
      <c r="K76" s="222"/>
      <c r="L76" s="216"/>
      <c r="N76" s="222"/>
    </row>
    <row r="77" spans="1:14" ht="12.75" customHeight="1" thickBot="1" x14ac:dyDescent="0.35">
      <c r="A77" s="148" t="s">
        <v>203</v>
      </c>
      <c r="B77" s="222"/>
      <c r="C77" s="216"/>
      <c r="D77" s="216"/>
      <c r="E77" s="216"/>
      <c r="F77" s="216"/>
      <c r="G77" s="216"/>
      <c r="H77" s="216"/>
      <c r="L77" s="216"/>
      <c r="N77" s="222"/>
    </row>
    <row r="78" spans="1:14" ht="12.75" customHeight="1" x14ac:dyDescent="0.3">
      <c r="A78" s="361"/>
      <c r="B78" s="362" t="s">
        <v>585</v>
      </c>
      <c r="C78" s="363"/>
      <c r="D78" s="362">
        <v>65</v>
      </c>
      <c r="E78" s="363"/>
      <c r="F78" s="362">
        <v>97</v>
      </c>
      <c r="G78" s="364">
        <v>81</v>
      </c>
      <c r="H78" s="362">
        <v>94</v>
      </c>
      <c r="I78" s="407">
        <v>84</v>
      </c>
      <c r="J78" s="365"/>
      <c r="K78" s="362"/>
      <c r="L78" s="363"/>
      <c r="M78" s="363"/>
      <c r="N78" s="365"/>
    </row>
    <row r="79" spans="1:14" ht="15" customHeight="1" x14ac:dyDescent="0.35">
      <c r="A79" s="366" t="s">
        <v>204</v>
      </c>
      <c r="B79" s="367" t="s">
        <v>279</v>
      </c>
      <c r="C79" s="368"/>
      <c r="D79" s="368"/>
      <c r="E79" s="368"/>
      <c r="F79" s="368"/>
      <c r="G79" s="369">
        <v>32</v>
      </c>
      <c r="H79" s="149">
        <f>H78/G83</f>
        <v>0.58385093167701863</v>
      </c>
      <c r="I79" s="408">
        <v>29</v>
      </c>
      <c r="J79" s="409"/>
      <c r="K79" s="149"/>
      <c r="L79" s="370">
        <v>0.6</v>
      </c>
      <c r="M79" s="370"/>
      <c r="N79" s="371" t="s">
        <v>372</v>
      </c>
    </row>
    <row r="80" spans="1:14" ht="12.75" customHeight="1" x14ac:dyDescent="0.25">
      <c r="A80" s="366"/>
      <c r="B80" s="367" t="s">
        <v>186</v>
      </c>
      <c r="C80" s="368"/>
      <c r="D80" s="368"/>
      <c r="E80" s="368"/>
      <c r="F80" s="368"/>
      <c r="G80" s="369">
        <v>30</v>
      </c>
      <c r="H80" s="368"/>
      <c r="I80" s="399">
        <v>22</v>
      </c>
      <c r="K80" s="368"/>
      <c r="L80" s="368"/>
      <c r="M80" s="368"/>
      <c r="N80" s="371"/>
    </row>
    <row r="81" spans="1:14" ht="12.75" customHeight="1" x14ac:dyDescent="0.25">
      <c r="A81" s="366"/>
      <c r="B81" s="367" t="s">
        <v>185</v>
      </c>
      <c r="C81" s="368"/>
      <c r="D81" s="368"/>
      <c r="E81" s="368"/>
      <c r="F81" s="368"/>
      <c r="G81" s="369">
        <v>8</v>
      </c>
      <c r="H81" s="368"/>
      <c r="I81" s="399">
        <v>18</v>
      </c>
      <c r="K81" s="368"/>
      <c r="L81" s="368"/>
      <c r="M81" s="368"/>
      <c r="N81" s="371"/>
    </row>
    <row r="82" spans="1:14" ht="12.75" customHeight="1" x14ac:dyDescent="0.25">
      <c r="A82" s="366"/>
      <c r="B82" s="367" t="s">
        <v>373</v>
      </c>
      <c r="C82" s="368"/>
      <c r="D82" s="368"/>
      <c r="E82" s="368"/>
      <c r="F82" s="368"/>
      <c r="G82" s="369">
        <v>10</v>
      </c>
      <c r="H82" s="368"/>
      <c r="I82" s="410">
        <v>42</v>
      </c>
      <c r="J82" s="411"/>
      <c r="K82" s="368"/>
      <c r="L82" s="368"/>
      <c r="M82" s="368"/>
      <c r="N82" s="371"/>
    </row>
    <row r="83" spans="1:14" ht="13.5" customHeight="1" thickBot="1" x14ac:dyDescent="0.3">
      <c r="A83" s="372" t="s">
        <v>584</v>
      </c>
      <c r="B83" s="373"/>
      <c r="C83" s="374"/>
      <c r="D83" s="373">
        <v>99</v>
      </c>
      <c r="E83" s="374"/>
      <c r="F83" s="373">
        <v>104</v>
      </c>
      <c r="G83" s="375">
        <f>SUM(G77:G82)</f>
        <v>161</v>
      </c>
      <c r="H83" s="373">
        <v>119</v>
      </c>
      <c r="I83" s="383">
        <f>SUM(I78:I82)</f>
        <v>195</v>
      </c>
      <c r="J83" s="412">
        <f>H83/I83</f>
        <v>0.61025641025641031</v>
      </c>
      <c r="K83" s="373"/>
      <c r="L83" s="374"/>
      <c r="M83" s="374"/>
      <c r="N83" s="376"/>
    </row>
    <row r="84" spans="1:14" ht="15" customHeight="1" x14ac:dyDescent="0.35">
      <c r="A84" s="377" t="s">
        <v>205</v>
      </c>
      <c r="B84" s="362" t="s">
        <v>374</v>
      </c>
      <c r="C84" s="378">
        <f>D83/G83</f>
        <v>0.6149068322981367</v>
      </c>
      <c r="D84" s="363"/>
      <c r="E84" s="363"/>
      <c r="F84" s="378">
        <f>F83/G83</f>
        <v>0.64596273291925466</v>
      </c>
      <c r="G84" s="379">
        <v>81</v>
      </c>
      <c r="H84" s="378">
        <f>H83/G83</f>
        <v>0.73913043478260865</v>
      </c>
      <c r="I84" s="413"/>
      <c r="J84" s="414"/>
      <c r="K84" s="378"/>
      <c r="L84" s="380">
        <v>0.7</v>
      </c>
      <c r="M84" s="380"/>
      <c r="N84" s="365" t="s">
        <v>375</v>
      </c>
    </row>
    <row r="85" spans="1:14" ht="12.75" customHeight="1" x14ac:dyDescent="0.25">
      <c r="A85" s="366"/>
      <c r="B85" s="367" t="s">
        <v>279</v>
      </c>
      <c r="C85" s="368"/>
      <c r="D85" s="368"/>
      <c r="E85" s="368"/>
      <c r="F85" s="368"/>
      <c r="G85" s="381">
        <v>32</v>
      </c>
      <c r="H85" s="368"/>
      <c r="K85" s="368"/>
      <c r="L85" s="368"/>
      <c r="M85" s="368"/>
      <c r="N85" s="371"/>
    </row>
    <row r="86" spans="1:14" ht="12.75" customHeight="1" x14ac:dyDescent="0.25">
      <c r="A86" s="366"/>
      <c r="B86" s="367" t="s">
        <v>186</v>
      </c>
      <c r="C86" s="368"/>
      <c r="D86" s="368"/>
      <c r="E86" s="368"/>
      <c r="F86" s="368"/>
      <c r="G86" s="381">
        <v>8</v>
      </c>
      <c r="H86" s="368"/>
      <c r="K86" s="368"/>
      <c r="L86" s="368"/>
      <c r="M86" s="368"/>
      <c r="N86" s="371"/>
    </row>
    <row r="87" spans="1:14" ht="12.75" customHeight="1" x14ac:dyDescent="0.25">
      <c r="A87" s="366"/>
      <c r="B87" s="367" t="s">
        <v>373</v>
      </c>
      <c r="C87" s="368"/>
      <c r="D87" s="368"/>
      <c r="E87" s="368"/>
      <c r="F87" s="368"/>
      <c r="G87" s="381">
        <v>5</v>
      </c>
      <c r="H87" s="368"/>
      <c r="K87" s="368"/>
      <c r="L87" s="368"/>
      <c r="M87" s="368"/>
      <c r="N87" s="371"/>
    </row>
    <row r="88" spans="1:14" ht="13.5" customHeight="1" thickBot="1" x14ac:dyDescent="0.3">
      <c r="A88" s="372"/>
      <c r="B88" s="373"/>
      <c r="C88" s="374"/>
      <c r="D88" s="374"/>
      <c r="E88" s="374"/>
      <c r="F88" s="374"/>
      <c r="G88" s="375">
        <f>SUM(G84:G87)</f>
        <v>126</v>
      </c>
      <c r="H88" s="374"/>
      <c r="I88" s="415"/>
      <c r="J88" s="416"/>
      <c r="K88" s="374"/>
      <c r="L88" s="374"/>
      <c r="M88" s="374"/>
      <c r="N88" s="376"/>
    </row>
    <row r="89" spans="1:14" ht="12.75" customHeight="1" x14ac:dyDescent="0.25">
      <c r="A89" s="377" t="s">
        <v>206</v>
      </c>
      <c r="B89" s="362" t="s">
        <v>376</v>
      </c>
      <c r="C89" s="363"/>
      <c r="D89" s="362">
        <v>41</v>
      </c>
      <c r="E89" s="363"/>
      <c r="F89" s="362">
        <v>39</v>
      </c>
      <c r="G89" s="379">
        <v>30</v>
      </c>
      <c r="H89" s="362">
        <v>40</v>
      </c>
      <c r="I89" s="407"/>
      <c r="J89" s="365"/>
      <c r="K89" s="362"/>
      <c r="L89" s="363"/>
      <c r="M89" s="363"/>
      <c r="N89" s="365"/>
    </row>
    <row r="90" spans="1:14" ht="15" customHeight="1" x14ac:dyDescent="0.35">
      <c r="A90" s="366"/>
      <c r="B90" s="367" t="s">
        <v>377</v>
      </c>
      <c r="C90" s="149">
        <f>D89/G92</f>
        <v>0.7592592592592593</v>
      </c>
      <c r="D90" s="368"/>
      <c r="E90" s="149">
        <f>F89/G92</f>
        <v>0.72222222222222221</v>
      </c>
      <c r="F90" s="368"/>
      <c r="G90" s="381">
        <v>16</v>
      </c>
      <c r="H90" s="149">
        <f>H89/G92</f>
        <v>0.7407407407407407</v>
      </c>
      <c r="I90" s="417"/>
      <c r="J90" s="418"/>
      <c r="K90" s="149"/>
      <c r="L90" s="370">
        <v>0.75</v>
      </c>
      <c r="M90" s="370"/>
      <c r="N90" s="382">
        <v>0.7</v>
      </c>
    </row>
    <row r="91" spans="1:14" ht="12.75" customHeight="1" x14ac:dyDescent="0.25">
      <c r="A91" s="366"/>
      <c r="B91" s="367" t="s">
        <v>378</v>
      </c>
      <c r="C91" s="368"/>
      <c r="D91" s="368"/>
      <c r="E91" s="368"/>
      <c r="F91" s="368"/>
      <c r="G91" s="381">
        <v>8</v>
      </c>
      <c r="H91" s="368"/>
      <c r="K91" s="368"/>
      <c r="L91" s="368"/>
      <c r="M91" s="368"/>
      <c r="N91" s="371"/>
    </row>
    <row r="92" spans="1:14" ht="13.5" customHeight="1" thickBot="1" x14ac:dyDescent="0.3">
      <c r="A92" s="383"/>
      <c r="B92" s="373"/>
      <c r="C92" s="374"/>
      <c r="D92" s="374"/>
      <c r="E92" s="374"/>
      <c r="F92" s="374"/>
      <c r="G92" s="375">
        <f>SUM(G89:G91)</f>
        <v>54</v>
      </c>
      <c r="H92" s="374"/>
      <c r="I92" s="415"/>
      <c r="J92" s="416"/>
      <c r="K92" s="374"/>
      <c r="L92" s="374"/>
      <c r="M92" s="374"/>
      <c r="N92" s="376"/>
    </row>
    <row r="93" spans="1:14" ht="12.75" customHeight="1" x14ac:dyDescent="0.25">
      <c r="A93" s="377" t="s">
        <v>207</v>
      </c>
      <c r="B93" s="362"/>
      <c r="C93" s="363"/>
      <c r="D93" s="363"/>
      <c r="E93" s="363"/>
      <c r="F93" s="363"/>
      <c r="G93" s="379"/>
      <c r="H93" s="363"/>
      <c r="I93" s="419"/>
      <c r="J93" s="420"/>
      <c r="K93" s="363"/>
      <c r="L93" s="363"/>
      <c r="M93" s="363"/>
      <c r="N93" s="365"/>
    </row>
    <row r="94" spans="1:14" ht="12.75" customHeight="1" x14ac:dyDescent="0.25">
      <c r="A94" s="366"/>
      <c r="B94" s="367"/>
      <c r="C94" s="368"/>
      <c r="D94" s="368"/>
      <c r="E94" s="368"/>
      <c r="F94" s="368"/>
      <c r="G94" s="381"/>
      <c r="H94" s="368"/>
      <c r="K94" s="368"/>
      <c r="L94" s="368"/>
      <c r="M94" s="368"/>
      <c r="N94" s="371"/>
    </row>
    <row r="95" spans="1:14" ht="12.75" customHeight="1" x14ac:dyDescent="0.25">
      <c r="A95" s="366" t="s">
        <v>582</v>
      </c>
      <c r="B95" s="367"/>
      <c r="C95" s="368"/>
      <c r="D95" s="368"/>
      <c r="E95" s="368"/>
      <c r="F95" s="368"/>
      <c r="G95" s="381">
        <v>38</v>
      </c>
      <c r="H95" s="367">
        <v>37</v>
      </c>
      <c r="I95" s="401">
        <v>115</v>
      </c>
      <c r="J95" s="371"/>
      <c r="K95" s="367"/>
      <c r="L95" s="370"/>
      <c r="M95" s="370"/>
      <c r="N95" s="371"/>
    </row>
    <row r="96" spans="1:14" s="351" customFormat="1" ht="12.75" customHeight="1" x14ac:dyDescent="0.25">
      <c r="A96" s="366" t="s">
        <v>583</v>
      </c>
      <c r="B96" s="367"/>
      <c r="C96" s="368"/>
      <c r="D96" s="368"/>
      <c r="E96" s="368"/>
      <c r="F96" s="368"/>
      <c r="G96" s="381"/>
      <c r="H96" s="367"/>
      <c r="I96" s="401">
        <v>130</v>
      </c>
      <c r="J96" s="371"/>
      <c r="K96" s="367"/>
      <c r="L96" s="370"/>
      <c r="M96" s="370"/>
      <c r="N96" s="371"/>
    </row>
    <row r="97" spans="1:14" ht="15" customHeight="1" thickBot="1" x14ac:dyDescent="0.4">
      <c r="A97" s="372"/>
      <c r="B97" s="373"/>
      <c r="C97" s="374"/>
      <c r="D97" s="374"/>
      <c r="E97" s="374"/>
      <c r="F97" s="374"/>
      <c r="G97" s="374"/>
      <c r="H97" s="384">
        <f>H95/G95</f>
        <v>0.97368421052631582</v>
      </c>
      <c r="I97" s="421">
        <f>I95/I96</f>
        <v>0.88461538461538458</v>
      </c>
      <c r="J97" s="422"/>
      <c r="K97" s="384"/>
      <c r="L97" s="385">
        <v>0.95</v>
      </c>
      <c r="M97" s="385"/>
      <c r="N97" s="376" t="s">
        <v>379</v>
      </c>
    </row>
    <row r="98" spans="1:14" ht="12.75" customHeight="1" x14ac:dyDescent="0.25">
      <c r="A98" s="79" t="s">
        <v>587</v>
      </c>
      <c r="B98" s="222"/>
      <c r="C98" s="216"/>
      <c r="D98" s="216"/>
      <c r="E98" s="216"/>
      <c r="F98" s="216"/>
      <c r="G98" s="216"/>
      <c r="H98" s="216"/>
      <c r="I98" s="399">
        <v>24</v>
      </c>
      <c r="L98" s="216"/>
      <c r="N98" s="222"/>
    </row>
    <row r="99" spans="1:14" s="351" customFormat="1" ht="12.75" customHeight="1" x14ac:dyDescent="0.25">
      <c r="A99" s="79" t="s">
        <v>588</v>
      </c>
      <c r="B99" s="222"/>
      <c r="I99" s="399">
        <v>7</v>
      </c>
      <c r="J99" s="400"/>
      <c r="N99" s="222"/>
    </row>
    <row r="100" spans="1:14" ht="12.75" customHeight="1" x14ac:dyDescent="0.25">
      <c r="A100" s="81" t="s">
        <v>210</v>
      </c>
      <c r="B100" s="222"/>
      <c r="C100" s="216"/>
      <c r="D100" s="216"/>
      <c r="E100" s="216"/>
      <c r="F100" s="216"/>
      <c r="G100" s="216"/>
      <c r="H100" s="216"/>
      <c r="L100" s="216"/>
      <c r="N100" s="222"/>
    </row>
    <row r="101" spans="1:14" ht="12.75" customHeight="1" x14ac:dyDescent="0.25">
      <c r="A101" s="222"/>
      <c r="B101" s="222"/>
      <c r="C101" s="216"/>
      <c r="D101" s="216"/>
      <c r="E101" s="216"/>
      <c r="F101" s="216"/>
      <c r="G101" s="216"/>
      <c r="H101" s="216"/>
      <c r="L101" s="216"/>
      <c r="N101" s="222"/>
    </row>
    <row r="102" spans="1:14" ht="12.75" customHeight="1" x14ac:dyDescent="0.3">
      <c r="A102" s="76" t="s">
        <v>200</v>
      </c>
      <c r="B102" s="83" t="s">
        <v>201</v>
      </c>
      <c r="C102" s="83" t="s">
        <v>201</v>
      </c>
      <c r="D102" s="216"/>
      <c r="E102" s="83" t="s">
        <v>201</v>
      </c>
      <c r="F102" s="216"/>
      <c r="G102" s="83" t="s">
        <v>201</v>
      </c>
      <c r="H102" s="216"/>
      <c r="L102" s="216"/>
      <c r="N102" s="222"/>
    </row>
    <row r="103" spans="1:14" ht="12.75" customHeight="1" x14ac:dyDescent="0.25">
      <c r="A103" s="79" t="s">
        <v>204</v>
      </c>
      <c r="B103" s="180"/>
      <c r="C103" s="222">
        <v>750</v>
      </c>
      <c r="D103" s="216"/>
      <c r="E103" s="180">
        <v>700</v>
      </c>
      <c r="F103" s="216"/>
      <c r="G103" s="180">
        <v>700</v>
      </c>
      <c r="H103" s="222">
        <f t="shared" ref="H103:H106" si="7">G103*$B$11</f>
        <v>735</v>
      </c>
      <c r="I103" s="401"/>
      <c r="J103" s="371"/>
      <c r="K103" s="222"/>
      <c r="L103" s="222">
        <v>735</v>
      </c>
      <c r="M103" s="222"/>
      <c r="N103" s="222" t="s">
        <v>380</v>
      </c>
    </row>
    <row r="104" spans="1:14" ht="12.75" customHeight="1" x14ac:dyDescent="0.25">
      <c r="A104" s="79" t="s">
        <v>205</v>
      </c>
      <c r="B104" s="180"/>
      <c r="C104" s="222">
        <v>750</v>
      </c>
      <c r="D104" s="216"/>
      <c r="E104" s="180">
        <v>700</v>
      </c>
      <c r="F104" s="216"/>
      <c r="G104" s="180">
        <v>700</v>
      </c>
      <c r="H104" s="222">
        <f t="shared" si="7"/>
        <v>735</v>
      </c>
      <c r="I104" s="401"/>
      <c r="J104" s="371"/>
      <c r="K104" s="222"/>
      <c r="L104" s="222">
        <v>735</v>
      </c>
      <c r="M104" s="222"/>
      <c r="N104" s="241" t="s">
        <v>381</v>
      </c>
    </row>
    <row r="105" spans="1:14" ht="25.5" customHeight="1" x14ac:dyDescent="0.25">
      <c r="A105" s="79" t="s">
        <v>206</v>
      </c>
      <c r="B105" s="180"/>
      <c r="C105" s="222">
        <v>750</v>
      </c>
      <c r="D105" s="216"/>
      <c r="E105" s="180">
        <v>700</v>
      </c>
      <c r="F105" s="216"/>
      <c r="G105" s="180">
        <v>700</v>
      </c>
      <c r="H105" s="222">
        <f t="shared" si="7"/>
        <v>735</v>
      </c>
      <c r="I105" s="401"/>
      <c r="J105" s="371"/>
      <c r="K105" s="222"/>
      <c r="L105" s="222">
        <v>735</v>
      </c>
      <c r="M105" s="222"/>
      <c r="N105" s="245" t="s">
        <v>382</v>
      </c>
    </row>
    <row r="106" spans="1:14" ht="12.75" customHeight="1" x14ac:dyDescent="0.25">
      <c r="A106" s="79" t="s">
        <v>207</v>
      </c>
      <c r="B106" s="180"/>
      <c r="C106" s="216"/>
      <c r="D106" s="216"/>
      <c r="E106" s="180">
        <v>500</v>
      </c>
      <c r="F106" s="216"/>
      <c r="G106" s="180">
        <v>500</v>
      </c>
      <c r="H106" s="222">
        <f t="shared" si="7"/>
        <v>525</v>
      </c>
      <c r="I106" s="401"/>
      <c r="J106" s="371"/>
      <c r="K106" s="222"/>
      <c r="L106" s="222">
        <v>525</v>
      </c>
      <c r="M106" s="222"/>
      <c r="N106" s="222" t="s">
        <v>383</v>
      </c>
    </row>
    <row r="107" spans="1:14" ht="25.5" customHeight="1" x14ac:dyDescent="0.25">
      <c r="A107" s="79" t="s">
        <v>208</v>
      </c>
      <c r="B107" s="180"/>
      <c r="C107" s="216"/>
      <c r="D107" s="216"/>
      <c r="E107" s="180"/>
      <c r="F107" s="216"/>
      <c r="G107" s="180"/>
      <c r="H107" s="222">
        <v>525</v>
      </c>
      <c r="I107" s="401"/>
      <c r="J107" s="371"/>
      <c r="K107" s="222"/>
      <c r="L107" s="222">
        <v>650</v>
      </c>
      <c r="M107" s="222"/>
      <c r="N107" s="242" t="s">
        <v>384</v>
      </c>
    </row>
    <row r="108" spans="1:14" ht="12.75" customHeight="1" x14ac:dyDescent="0.25">
      <c r="A108" s="79" t="s">
        <v>209</v>
      </c>
      <c r="B108" s="180"/>
      <c r="C108" s="222">
        <v>750</v>
      </c>
      <c r="D108" s="216"/>
      <c r="E108" s="180">
        <v>800</v>
      </c>
      <c r="F108" s="216"/>
      <c r="G108" s="180">
        <v>800</v>
      </c>
      <c r="H108" s="222">
        <f t="shared" ref="H108:H109" si="8">G108*$B$11</f>
        <v>840</v>
      </c>
      <c r="I108" s="401"/>
      <c r="J108" s="371"/>
      <c r="K108" s="222"/>
      <c r="L108" s="222">
        <v>900</v>
      </c>
      <c r="M108" s="222"/>
      <c r="N108" s="222" t="s">
        <v>385</v>
      </c>
    </row>
    <row r="109" spans="1:14" ht="12.75" customHeight="1" x14ac:dyDescent="0.25">
      <c r="A109" s="81" t="s">
        <v>210</v>
      </c>
      <c r="B109" s="113"/>
      <c r="C109" s="222">
        <v>1000</v>
      </c>
      <c r="D109" s="216"/>
      <c r="E109" s="113">
        <v>1100</v>
      </c>
      <c r="F109" s="216"/>
      <c r="G109" s="113">
        <v>1100</v>
      </c>
      <c r="H109" s="222">
        <f t="shared" si="8"/>
        <v>1155</v>
      </c>
      <c r="I109" s="401"/>
      <c r="J109" s="371"/>
      <c r="K109" s="222"/>
      <c r="L109" s="222">
        <v>1155</v>
      </c>
      <c r="M109" s="222"/>
      <c r="N109" s="222" t="s">
        <v>386</v>
      </c>
    </row>
    <row r="110" spans="1:14" ht="12.75" customHeight="1" x14ac:dyDescent="0.3">
      <c r="A110" s="76" t="s">
        <v>200</v>
      </c>
      <c r="B110" s="83" t="s">
        <v>202</v>
      </c>
      <c r="C110" s="216"/>
      <c r="D110" s="216"/>
      <c r="E110" s="83" t="s">
        <v>202</v>
      </c>
      <c r="F110" s="216"/>
      <c r="G110" s="83" t="s">
        <v>202</v>
      </c>
      <c r="H110" s="216"/>
      <c r="L110" s="216"/>
      <c r="N110" s="222"/>
    </row>
    <row r="111" spans="1:14" ht="12.75" customHeight="1" x14ac:dyDescent="0.25">
      <c r="A111" s="79" t="s">
        <v>204</v>
      </c>
      <c r="B111" s="180"/>
      <c r="C111" s="222">
        <v>400</v>
      </c>
      <c r="D111" s="216"/>
      <c r="E111" s="180">
        <v>450</v>
      </c>
      <c r="F111" s="216"/>
      <c r="G111" s="180">
        <v>450</v>
      </c>
      <c r="H111" s="222">
        <f t="shared" ref="H111:H114" si="9">G111*$B$11</f>
        <v>472.5</v>
      </c>
      <c r="I111" s="401"/>
      <c r="J111" s="371"/>
      <c r="K111" s="222"/>
      <c r="L111" s="222">
        <v>475</v>
      </c>
      <c r="M111" s="222"/>
      <c r="N111" s="222"/>
    </row>
    <row r="112" spans="1:14" ht="12.75" customHeight="1" x14ac:dyDescent="0.25">
      <c r="A112" s="79" t="s">
        <v>205</v>
      </c>
      <c r="B112" s="180"/>
      <c r="C112" s="222">
        <v>400</v>
      </c>
      <c r="D112" s="216"/>
      <c r="E112" s="180">
        <v>450</v>
      </c>
      <c r="F112" s="216"/>
      <c r="G112" s="180">
        <v>450</v>
      </c>
      <c r="H112" s="222">
        <f t="shared" si="9"/>
        <v>472.5</v>
      </c>
      <c r="I112" s="401"/>
      <c r="J112" s="371"/>
      <c r="K112" s="222"/>
      <c r="L112" s="222">
        <v>475</v>
      </c>
      <c r="M112" s="222"/>
      <c r="N112" s="222"/>
    </row>
    <row r="113" spans="1:14" ht="12.75" customHeight="1" x14ac:dyDescent="0.25">
      <c r="A113" s="79" t="s">
        <v>206</v>
      </c>
      <c r="B113" s="180"/>
      <c r="C113" s="222">
        <v>900</v>
      </c>
      <c r="D113" s="216"/>
      <c r="E113" s="180">
        <v>900</v>
      </c>
      <c r="F113" s="216"/>
      <c r="G113" s="180">
        <v>900</v>
      </c>
      <c r="H113" s="222">
        <f t="shared" si="9"/>
        <v>945</v>
      </c>
      <c r="I113" s="401"/>
      <c r="J113" s="371"/>
      <c r="K113" s="222"/>
      <c r="L113" s="222">
        <v>945</v>
      </c>
      <c r="M113" s="222"/>
      <c r="N113" s="222"/>
    </row>
    <row r="114" spans="1:14" ht="12.75" customHeight="1" x14ac:dyDescent="0.25">
      <c r="A114" s="79" t="s">
        <v>207</v>
      </c>
      <c r="B114" s="180"/>
      <c r="C114" s="216"/>
      <c r="D114" s="216"/>
      <c r="E114" s="180">
        <v>500</v>
      </c>
      <c r="F114" s="216"/>
      <c r="G114" s="180">
        <v>500</v>
      </c>
      <c r="H114" s="222">
        <f t="shared" si="9"/>
        <v>525</v>
      </c>
      <c r="I114" s="401"/>
      <c r="J114" s="371"/>
      <c r="K114" s="222"/>
      <c r="L114" s="222">
        <v>525</v>
      </c>
      <c r="M114" s="222"/>
      <c r="N114" s="241" t="s">
        <v>381</v>
      </c>
    </row>
    <row r="115" spans="1:14" ht="12.75" customHeight="1" x14ac:dyDescent="0.25">
      <c r="A115" s="79" t="s">
        <v>208</v>
      </c>
      <c r="B115" s="180"/>
      <c r="C115" s="216"/>
      <c r="D115" s="216"/>
      <c r="E115" s="180"/>
      <c r="F115" s="216"/>
      <c r="G115" s="180"/>
      <c r="H115" s="222">
        <v>525</v>
      </c>
      <c r="I115" s="401"/>
      <c r="J115" s="371"/>
      <c r="K115" s="222"/>
      <c r="L115" s="222">
        <v>525</v>
      </c>
      <c r="M115" s="222"/>
      <c r="N115" s="222" t="s">
        <v>387</v>
      </c>
    </row>
    <row r="116" spans="1:14" ht="12.75" customHeight="1" x14ac:dyDescent="0.25">
      <c r="A116" s="79" t="s">
        <v>209</v>
      </c>
      <c r="B116" s="180"/>
      <c r="C116" s="222">
        <v>1100</v>
      </c>
      <c r="D116" s="216"/>
      <c r="E116" s="180">
        <v>1100</v>
      </c>
      <c r="F116" s="216"/>
      <c r="G116" s="180">
        <v>1100</v>
      </c>
      <c r="H116" s="222">
        <f t="shared" ref="H116:H117" si="10">G116*$B$11</f>
        <v>1155</v>
      </c>
      <c r="I116" s="401"/>
      <c r="J116" s="371"/>
      <c r="K116" s="222"/>
      <c r="L116" s="222">
        <v>1155</v>
      </c>
      <c r="M116" s="222"/>
      <c r="N116" s="222"/>
    </row>
    <row r="117" spans="1:14" ht="12.75" customHeight="1" x14ac:dyDescent="0.25">
      <c r="A117" s="81" t="s">
        <v>210</v>
      </c>
      <c r="B117" s="113"/>
      <c r="C117" s="222">
        <v>1000</v>
      </c>
      <c r="D117" s="216"/>
      <c r="E117" s="113">
        <v>1200</v>
      </c>
      <c r="F117" s="216"/>
      <c r="G117" s="113">
        <v>1200</v>
      </c>
      <c r="H117" s="222">
        <f t="shared" si="10"/>
        <v>1260</v>
      </c>
      <c r="I117" s="401"/>
      <c r="J117" s="371"/>
      <c r="K117" s="222"/>
      <c r="L117" s="222">
        <v>1260</v>
      </c>
      <c r="M117" s="222"/>
      <c r="N117" s="222"/>
    </row>
    <row r="118" spans="1:14" ht="12.75" customHeight="1" x14ac:dyDescent="0.25">
      <c r="A118" s="81"/>
      <c r="B118" s="222"/>
      <c r="C118" s="216"/>
      <c r="D118" s="216"/>
      <c r="E118" s="216"/>
      <c r="F118" s="216"/>
      <c r="G118" s="216"/>
      <c r="H118" s="216"/>
      <c r="L118" s="216"/>
      <c r="N118" s="222"/>
    </row>
    <row r="119" spans="1:14" ht="12.75" customHeight="1" x14ac:dyDescent="0.25">
      <c r="A119" s="222"/>
      <c r="B119" s="222"/>
      <c r="C119" s="216"/>
      <c r="D119" s="216"/>
      <c r="E119" s="216"/>
      <c r="F119" s="216"/>
      <c r="G119" s="216"/>
      <c r="H119" s="216"/>
      <c r="L119" s="216"/>
      <c r="N119" s="222"/>
    </row>
    <row r="120" spans="1:14" ht="12.75" customHeight="1" x14ac:dyDescent="0.25">
      <c r="A120" s="222"/>
      <c r="B120" s="222"/>
      <c r="C120" s="216"/>
      <c r="D120" s="216"/>
      <c r="E120" s="216"/>
      <c r="F120" s="216"/>
      <c r="G120" s="216"/>
      <c r="H120" s="216"/>
      <c r="L120" s="216"/>
      <c r="N120" s="222"/>
    </row>
    <row r="121" spans="1:14" ht="12.75" customHeight="1" x14ac:dyDescent="0.25">
      <c r="A121" s="222"/>
      <c r="B121" s="222"/>
      <c r="C121" s="216"/>
      <c r="D121" s="216"/>
      <c r="E121" s="216"/>
      <c r="F121" s="216"/>
      <c r="G121" s="216"/>
      <c r="H121" s="216"/>
      <c r="L121" s="216"/>
      <c r="N121" s="222"/>
    </row>
    <row r="122" spans="1:14" ht="12.75" customHeight="1" x14ac:dyDescent="0.25">
      <c r="A122" s="222"/>
      <c r="B122" s="222"/>
      <c r="C122" s="216"/>
      <c r="D122" s="216"/>
      <c r="E122" s="216"/>
      <c r="F122" s="216"/>
      <c r="G122" s="216"/>
      <c r="H122" s="216"/>
      <c r="L122" s="216"/>
      <c r="N122" s="222"/>
    </row>
    <row r="123" spans="1:14" ht="12.75" customHeight="1" x14ac:dyDescent="0.25">
      <c r="A123" s="222"/>
      <c r="B123" s="222"/>
      <c r="C123" s="216"/>
      <c r="D123" s="216"/>
      <c r="E123" s="216"/>
      <c r="F123" s="216"/>
      <c r="G123" s="216"/>
      <c r="H123" s="216"/>
      <c r="L123" s="216"/>
      <c r="N123" s="222"/>
    </row>
    <row r="124" spans="1:14" ht="12.75" customHeight="1" x14ac:dyDescent="0.25">
      <c r="A124" s="222"/>
      <c r="B124" s="222"/>
      <c r="C124" s="216"/>
      <c r="D124" s="216"/>
      <c r="E124" s="216"/>
      <c r="F124" s="216"/>
      <c r="G124" s="216"/>
      <c r="H124" s="216"/>
      <c r="L124" s="216"/>
      <c r="N124" s="222"/>
    </row>
    <row r="125" spans="1:14" ht="12.75" customHeight="1" x14ac:dyDescent="0.25">
      <c r="A125" s="222"/>
      <c r="B125" s="222"/>
      <c r="C125" s="216"/>
      <c r="D125" s="216"/>
      <c r="E125" s="216"/>
      <c r="F125" s="216"/>
      <c r="G125" s="216"/>
      <c r="H125" s="216"/>
      <c r="L125" s="216"/>
      <c r="N125" s="222"/>
    </row>
    <row r="126" spans="1:14" ht="12.75" customHeight="1" x14ac:dyDescent="0.25">
      <c r="A126" s="222"/>
      <c r="B126" s="222"/>
      <c r="C126" s="216"/>
      <c r="D126" s="216"/>
      <c r="E126" s="216"/>
      <c r="F126" s="216"/>
      <c r="G126" s="216"/>
      <c r="H126" s="216"/>
      <c r="L126" s="216"/>
      <c r="N126" s="222"/>
    </row>
    <row r="127" spans="1:14" ht="12.75" customHeight="1" x14ac:dyDescent="0.25">
      <c r="A127" s="222"/>
      <c r="B127" s="222"/>
      <c r="C127" s="216"/>
      <c r="D127" s="216"/>
      <c r="E127" s="216"/>
      <c r="F127" s="216"/>
      <c r="G127" s="216"/>
      <c r="H127" s="216"/>
      <c r="L127" s="216"/>
      <c r="N127" s="222"/>
    </row>
    <row r="128" spans="1:14" ht="12.75" customHeight="1" x14ac:dyDescent="0.25">
      <c r="A128" s="222"/>
      <c r="B128" s="222"/>
      <c r="C128" s="216"/>
      <c r="D128" s="216"/>
      <c r="E128" s="216"/>
      <c r="F128" s="216"/>
      <c r="G128" s="216"/>
      <c r="H128" s="216"/>
      <c r="L128" s="216"/>
      <c r="N128" s="222"/>
    </row>
    <row r="129" spans="1:14" ht="12.75" customHeight="1" x14ac:dyDescent="0.25">
      <c r="A129" s="222"/>
      <c r="B129" s="222"/>
      <c r="C129" s="216"/>
      <c r="D129" s="216"/>
      <c r="E129" s="216"/>
      <c r="F129" s="216"/>
      <c r="G129" s="216"/>
      <c r="H129" s="216"/>
      <c r="L129" s="216"/>
      <c r="N129" s="222"/>
    </row>
    <row r="130" spans="1:14" ht="12.75" customHeight="1" x14ac:dyDescent="0.25">
      <c r="A130" s="222"/>
      <c r="B130" s="222"/>
      <c r="C130" s="216"/>
      <c r="D130" s="216"/>
      <c r="E130" s="216"/>
      <c r="F130" s="216"/>
      <c r="G130" s="216"/>
      <c r="H130" s="216"/>
      <c r="L130" s="216"/>
      <c r="N130" s="222"/>
    </row>
    <row r="131" spans="1:14" ht="12.75" customHeight="1" x14ac:dyDescent="0.25">
      <c r="A131" s="222"/>
      <c r="B131" s="222"/>
      <c r="C131" s="216"/>
      <c r="D131" s="216"/>
      <c r="E131" s="216"/>
      <c r="F131" s="216"/>
      <c r="G131" s="216"/>
      <c r="H131" s="216"/>
      <c r="L131" s="216"/>
      <c r="N131" s="222"/>
    </row>
    <row r="132" spans="1:14" ht="12.75" customHeight="1" x14ac:dyDescent="0.25">
      <c r="A132" s="222"/>
      <c r="B132" s="222"/>
      <c r="C132" s="216"/>
      <c r="D132" s="216"/>
      <c r="E132" s="216"/>
      <c r="F132" s="216"/>
      <c r="G132" s="216"/>
      <c r="H132" s="216"/>
      <c r="L132" s="216"/>
      <c r="N132" s="222"/>
    </row>
    <row r="133" spans="1:14" ht="12.75" customHeight="1" x14ac:dyDescent="0.25">
      <c r="A133" s="222"/>
      <c r="B133" s="222"/>
      <c r="C133" s="216"/>
      <c r="D133" s="216"/>
      <c r="E133" s="216"/>
      <c r="F133" s="216"/>
      <c r="G133" s="216"/>
      <c r="H133" s="216"/>
      <c r="L133" s="216"/>
      <c r="N133" s="222"/>
    </row>
    <row r="134" spans="1:14" ht="12.75" customHeight="1" x14ac:dyDescent="0.25">
      <c r="A134" s="222"/>
      <c r="B134" s="222"/>
      <c r="C134" s="216"/>
      <c r="D134" s="216"/>
      <c r="E134" s="216"/>
      <c r="F134" s="216"/>
      <c r="G134" s="216"/>
      <c r="H134" s="216"/>
      <c r="L134" s="216"/>
      <c r="N134" s="222"/>
    </row>
    <row r="135" spans="1:14" ht="12.75" customHeight="1" x14ac:dyDescent="0.25">
      <c r="A135" s="222"/>
      <c r="B135" s="222"/>
      <c r="C135" s="216"/>
      <c r="D135" s="216"/>
      <c r="E135" s="216"/>
      <c r="F135" s="216"/>
      <c r="G135" s="216"/>
      <c r="H135" s="216"/>
      <c r="L135" s="216"/>
      <c r="N135" s="222"/>
    </row>
    <row r="136" spans="1:14" ht="12.75" customHeight="1" x14ac:dyDescent="0.25">
      <c r="A136" s="222"/>
      <c r="B136" s="222"/>
      <c r="C136" s="216"/>
      <c r="D136" s="216"/>
      <c r="E136" s="216"/>
      <c r="F136" s="216"/>
      <c r="G136" s="216"/>
      <c r="H136" s="216"/>
      <c r="L136" s="216"/>
      <c r="N136" s="222"/>
    </row>
    <row r="137" spans="1:14" ht="12.75" customHeight="1" x14ac:dyDescent="0.25">
      <c r="A137" s="222"/>
      <c r="B137" s="222"/>
      <c r="C137" s="216"/>
      <c r="D137" s="216"/>
      <c r="E137" s="216"/>
      <c r="F137" s="216"/>
      <c r="G137" s="216"/>
      <c r="H137" s="216"/>
      <c r="L137" s="216"/>
      <c r="N137" s="222"/>
    </row>
    <row r="138" spans="1:14" ht="12.75" customHeight="1" x14ac:dyDescent="0.25">
      <c r="A138" s="222"/>
      <c r="B138" s="222"/>
      <c r="C138" s="216"/>
      <c r="D138" s="216"/>
      <c r="E138" s="216"/>
      <c r="F138" s="216"/>
      <c r="G138" s="216"/>
      <c r="H138" s="216"/>
      <c r="L138" s="216"/>
      <c r="N138" s="222"/>
    </row>
    <row r="139" spans="1:14" ht="12.75" customHeight="1" x14ac:dyDescent="0.25">
      <c r="A139" s="222"/>
      <c r="B139" s="222"/>
      <c r="C139" s="216"/>
      <c r="D139" s="216"/>
      <c r="E139" s="216"/>
      <c r="F139" s="216"/>
      <c r="G139" s="216"/>
      <c r="H139" s="216"/>
      <c r="L139" s="216"/>
      <c r="N139" s="222"/>
    </row>
    <row r="140" spans="1:14" ht="12.75" customHeight="1" x14ac:dyDescent="0.25">
      <c r="A140" s="222"/>
      <c r="B140" s="222"/>
      <c r="C140" s="216"/>
      <c r="D140" s="216"/>
      <c r="E140" s="216"/>
      <c r="F140" s="216"/>
      <c r="G140" s="216"/>
      <c r="H140" s="216"/>
      <c r="L140" s="216"/>
      <c r="N140" s="222"/>
    </row>
    <row r="141" spans="1:14" ht="12.75" customHeight="1" x14ac:dyDescent="0.25">
      <c r="A141" s="222"/>
      <c r="B141" s="222"/>
      <c r="C141" s="216"/>
      <c r="D141" s="216"/>
      <c r="E141" s="216"/>
      <c r="F141" s="216"/>
      <c r="G141" s="216"/>
      <c r="H141" s="216"/>
      <c r="L141" s="216"/>
      <c r="N141" s="222"/>
    </row>
    <row r="142" spans="1:14" ht="12.75" customHeight="1" x14ac:dyDescent="0.25">
      <c r="A142" s="222"/>
      <c r="B142" s="222"/>
      <c r="C142" s="216"/>
      <c r="D142" s="216"/>
      <c r="E142" s="216"/>
      <c r="F142" s="216"/>
      <c r="G142" s="216"/>
      <c r="H142" s="216"/>
      <c r="L142" s="216"/>
      <c r="N142" s="222"/>
    </row>
    <row r="143" spans="1:14" ht="12.75" customHeight="1" x14ac:dyDescent="0.25">
      <c r="A143" s="222"/>
      <c r="B143" s="222"/>
      <c r="C143" s="216"/>
      <c r="D143" s="216"/>
      <c r="E143" s="216"/>
      <c r="F143" s="216"/>
      <c r="G143" s="216"/>
      <c r="H143" s="216"/>
      <c r="L143" s="216"/>
      <c r="N143" s="222"/>
    </row>
    <row r="144" spans="1:14" ht="12.75" customHeight="1" x14ac:dyDescent="0.25">
      <c r="A144" s="222"/>
      <c r="B144" s="222"/>
      <c r="C144" s="216"/>
      <c r="D144" s="216"/>
      <c r="E144" s="216"/>
      <c r="F144" s="216"/>
      <c r="G144" s="216"/>
      <c r="H144" s="216"/>
      <c r="L144" s="216"/>
      <c r="N144" s="222"/>
    </row>
    <row r="145" spans="1:14" ht="12.75" customHeight="1" x14ac:dyDescent="0.25">
      <c r="A145" s="222"/>
      <c r="B145" s="222"/>
      <c r="C145" s="216"/>
      <c r="D145" s="216"/>
      <c r="E145" s="216"/>
      <c r="F145" s="216"/>
      <c r="G145" s="216"/>
      <c r="H145" s="216"/>
      <c r="L145" s="216"/>
      <c r="N145" s="222"/>
    </row>
    <row r="146" spans="1:14" ht="12.75" customHeight="1" x14ac:dyDescent="0.25">
      <c r="A146" s="222"/>
      <c r="B146" s="222"/>
      <c r="C146" s="216"/>
      <c r="D146" s="216"/>
      <c r="E146" s="216"/>
      <c r="F146" s="216"/>
      <c r="G146" s="216"/>
      <c r="H146" s="216"/>
      <c r="L146" s="216"/>
      <c r="N146" s="222"/>
    </row>
    <row r="147" spans="1:14" ht="12.75" customHeight="1" x14ac:dyDescent="0.25">
      <c r="A147" s="222"/>
      <c r="B147" s="222"/>
      <c r="C147" s="216"/>
      <c r="D147" s="216"/>
      <c r="E147" s="216"/>
      <c r="F147" s="216"/>
      <c r="G147" s="216"/>
      <c r="H147" s="216"/>
      <c r="L147" s="216"/>
      <c r="N147" s="222"/>
    </row>
    <row r="148" spans="1:14" ht="12.75" customHeight="1" x14ac:dyDescent="0.25">
      <c r="A148" s="222"/>
      <c r="B148" s="222"/>
      <c r="C148" s="216"/>
      <c r="D148" s="216"/>
      <c r="E148" s="216"/>
      <c r="F148" s="216"/>
      <c r="G148" s="216"/>
      <c r="H148" s="216"/>
      <c r="L148" s="216"/>
      <c r="N148" s="222"/>
    </row>
    <row r="149" spans="1:14" ht="12.75" customHeight="1" x14ac:dyDescent="0.25">
      <c r="A149" s="222"/>
      <c r="B149" s="222"/>
      <c r="C149" s="216"/>
      <c r="D149" s="216"/>
      <c r="E149" s="216"/>
      <c r="F149" s="216"/>
      <c r="G149" s="216"/>
      <c r="H149" s="216"/>
      <c r="L149" s="216"/>
      <c r="N149" s="222"/>
    </row>
    <row r="150" spans="1:14" ht="12.75" customHeight="1" x14ac:dyDescent="0.25">
      <c r="A150" s="222"/>
      <c r="B150" s="222"/>
      <c r="C150" s="216"/>
      <c r="D150" s="216"/>
      <c r="E150" s="216"/>
      <c r="F150" s="216"/>
      <c r="G150" s="216"/>
      <c r="H150" s="216"/>
      <c r="L150" s="216"/>
      <c r="N150" s="222"/>
    </row>
    <row r="151" spans="1:14" ht="12.75" customHeight="1" x14ac:dyDescent="0.25">
      <c r="A151" s="222"/>
      <c r="B151" s="222"/>
      <c r="C151" s="216"/>
      <c r="D151" s="216"/>
      <c r="E151" s="216"/>
      <c r="F151" s="216"/>
      <c r="G151" s="216"/>
      <c r="H151" s="216"/>
      <c r="L151" s="216"/>
      <c r="N151" s="222"/>
    </row>
    <row r="152" spans="1:14" ht="12.75" customHeight="1" x14ac:dyDescent="0.25">
      <c r="A152" s="222"/>
      <c r="B152" s="222"/>
      <c r="C152" s="216"/>
      <c r="D152" s="216"/>
      <c r="E152" s="216"/>
      <c r="F152" s="216"/>
      <c r="G152" s="216"/>
      <c r="H152" s="216"/>
      <c r="L152" s="216"/>
      <c r="N152" s="222"/>
    </row>
    <row r="153" spans="1:14" ht="12.75" customHeight="1" x14ac:dyDescent="0.25">
      <c r="A153" s="222"/>
      <c r="B153" s="222"/>
      <c r="C153" s="216"/>
      <c r="D153" s="216"/>
      <c r="E153" s="216"/>
      <c r="F153" s="216"/>
      <c r="G153" s="216"/>
      <c r="H153" s="216"/>
      <c r="L153" s="216"/>
      <c r="N153" s="222"/>
    </row>
    <row r="154" spans="1:14" ht="12.75" customHeight="1" x14ac:dyDescent="0.25">
      <c r="A154" s="222"/>
      <c r="B154" s="222"/>
      <c r="C154" s="216"/>
      <c r="D154" s="216"/>
      <c r="E154" s="216"/>
      <c r="F154" s="216"/>
      <c r="G154" s="216"/>
      <c r="H154" s="216"/>
      <c r="L154" s="216"/>
      <c r="N154" s="222"/>
    </row>
    <row r="155" spans="1:14" ht="12.75" customHeight="1" x14ac:dyDescent="0.25">
      <c r="A155" s="222"/>
      <c r="B155" s="222"/>
      <c r="C155" s="216"/>
      <c r="D155" s="216"/>
      <c r="E155" s="216"/>
      <c r="F155" s="216"/>
      <c r="G155" s="216"/>
      <c r="H155" s="216"/>
      <c r="L155" s="216"/>
      <c r="N155" s="222"/>
    </row>
    <row r="156" spans="1:14" ht="12.75" customHeight="1" x14ac:dyDescent="0.25">
      <c r="A156" s="222"/>
      <c r="B156" s="222"/>
      <c r="C156" s="216"/>
      <c r="D156" s="216"/>
      <c r="E156" s="216"/>
      <c r="F156" s="216"/>
      <c r="G156" s="216"/>
      <c r="H156" s="216"/>
      <c r="L156" s="216"/>
      <c r="N156" s="222"/>
    </row>
    <row r="157" spans="1:14" ht="12.75" customHeight="1" x14ac:dyDescent="0.25">
      <c r="A157" s="222"/>
      <c r="B157" s="222"/>
      <c r="C157" s="216"/>
      <c r="D157" s="216"/>
      <c r="E157" s="216"/>
      <c r="F157" s="216"/>
      <c r="G157" s="216"/>
      <c r="H157" s="216"/>
      <c r="L157" s="216"/>
      <c r="N157" s="222"/>
    </row>
    <row r="158" spans="1:14" ht="12.75" customHeight="1" x14ac:dyDescent="0.25">
      <c r="A158" s="222"/>
      <c r="B158" s="222"/>
      <c r="C158" s="216"/>
      <c r="D158" s="216"/>
      <c r="E158" s="216"/>
      <c r="F158" s="216"/>
      <c r="G158" s="216"/>
      <c r="H158" s="216"/>
      <c r="L158" s="216"/>
      <c r="N158" s="222"/>
    </row>
    <row r="159" spans="1:14" ht="12.75" customHeight="1" x14ac:dyDescent="0.25">
      <c r="A159" s="222"/>
      <c r="B159" s="222"/>
      <c r="C159" s="216"/>
      <c r="D159" s="216"/>
      <c r="E159" s="216"/>
      <c r="F159" s="216"/>
      <c r="G159" s="216"/>
      <c r="H159" s="216"/>
      <c r="L159" s="216"/>
      <c r="N159" s="222"/>
    </row>
    <row r="160" spans="1:14" ht="12.75" customHeight="1" x14ac:dyDescent="0.25">
      <c r="A160" s="222"/>
      <c r="B160" s="222"/>
      <c r="C160" s="216"/>
      <c r="D160" s="216"/>
      <c r="E160" s="216"/>
      <c r="F160" s="216"/>
      <c r="G160" s="216"/>
      <c r="H160" s="216"/>
      <c r="L160" s="216"/>
      <c r="N160" s="222"/>
    </row>
    <row r="161" spans="1:14" ht="12.75" customHeight="1" x14ac:dyDescent="0.25">
      <c r="A161" s="222"/>
      <c r="B161" s="222"/>
      <c r="C161" s="216"/>
      <c r="D161" s="216"/>
      <c r="E161" s="216"/>
      <c r="F161" s="216"/>
      <c r="G161" s="216"/>
      <c r="H161" s="216"/>
      <c r="L161" s="216"/>
      <c r="N161" s="222"/>
    </row>
    <row r="162" spans="1:14" ht="12.75" customHeight="1" x14ac:dyDescent="0.25">
      <c r="A162" s="222"/>
      <c r="B162" s="222"/>
      <c r="C162" s="216"/>
      <c r="D162" s="216"/>
      <c r="E162" s="216"/>
      <c r="F162" s="216"/>
      <c r="G162" s="216"/>
      <c r="H162" s="216"/>
      <c r="L162" s="216"/>
      <c r="N162" s="222"/>
    </row>
    <row r="163" spans="1:14" ht="12.75" customHeight="1" x14ac:dyDescent="0.25">
      <c r="A163" s="222"/>
      <c r="B163" s="222"/>
      <c r="C163" s="216"/>
      <c r="D163" s="216"/>
      <c r="E163" s="216"/>
      <c r="F163" s="216"/>
      <c r="G163" s="216"/>
      <c r="H163" s="216"/>
      <c r="L163" s="216"/>
      <c r="N163" s="222"/>
    </row>
    <row r="164" spans="1:14" ht="12.75" customHeight="1" x14ac:dyDescent="0.25">
      <c r="A164" s="222"/>
      <c r="B164" s="222"/>
      <c r="C164" s="216"/>
      <c r="D164" s="216"/>
      <c r="E164" s="216"/>
      <c r="F164" s="216"/>
      <c r="G164" s="216"/>
      <c r="H164" s="216"/>
      <c r="L164" s="216"/>
      <c r="N164" s="222"/>
    </row>
    <row r="165" spans="1:14" ht="12.75" customHeight="1" x14ac:dyDescent="0.25">
      <c r="A165" s="222"/>
      <c r="B165" s="222"/>
      <c r="C165" s="216"/>
      <c r="D165" s="216"/>
      <c r="E165" s="216"/>
      <c r="F165" s="216"/>
      <c r="G165" s="216"/>
      <c r="H165" s="216"/>
      <c r="L165" s="216"/>
      <c r="N165" s="222"/>
    </row>
    <row r="166" spans="1:14" ht="12.75" customHeight="1" x14ac:dyDescent="0.25">
      <c r="A166" s="222"/>
      <c r="B166" s="222"/>
      <c r="C166" s="216"/>
      <c r="D166" s="216"/>
      <c r="E166" s="216"/>
      <c r="F166" s="216"/>
      <c r="G166" s="216"/>
      <c r="H166" s="216"/>
      <c r="L166" s="216"/>
      <c r="N166" s="222"/>
    </row>
    <row r="167" spans="1:14" ht="12.75" customHeight="1" x14ac:dyDescent="0.25">
      <c r="A167" s="222"/>
      <c r="B167" s="222"/>
      <c r="C167" s="216"/>
      <c r="D167" s="216"/>
      <c r="E167" s="216"/>
      <c r="F167" s="216"/>
      <c r="G167" s="216"/>
      <c r="H167" s="216"/>
      <c r="L167" s="216"/>
      <c r="N167" s="222"/>
    </row>
    <row r="168" spans="1:14" ht="12.75" customHeight="1" x14ac:dyDescent="0.25">
      <c r="A168" s="222"/>
      <c r="B168" s="222"/>
      <c r="C168" s="216"/>
      <c r="D168" s="216"/>
      <c r="E168" s="216"/>
      <c r="F168" s="216"/>
      <c r="G168" s="216"/>
      <c r="H168" s="216"/>
      <c r="L168" s="216"/>
      <c r="N168" s="222"/>
    </row>
    <row r="169" spans="1:14" ht="12.75" customHeight="1" x14ac:dyDescent="0.25">
      <c r="A169" s="222"/>
      <c r="B169" s="222"/>
      <c r="C169" s="216"/>
      <c r="D169" s="216"/>
      <c r="E169" s="216"/>
      <c r="F169" s="216"/>
      <c r="G169" s="216"/>
      <c r="H169" s="216"/>
      <c r="L169" s="216"/>
      <c r="N169" s="222"/>
    </row>
    <row r="170" spans="1:14" ht="12.75" customHeight="1" x14ac:dyDescent="0.25">
      <c r="A170" s="222"/>
      <c r="B170" s="222"/>
      <c r="C170" s="216"/>
      <c r="D170" s="216"/>
      <c r="E170" s="216"/>
      <c r="F170" s="216"/>
      <c r="G170" s="216"/>
      <c r="H170" s="216"/>
      <c r="L170" s="216"/>
      <c r="N170" s="222"/>
    </row>
    <row r="171" spans="1:14" ht="12.75" customHeight="1" x14ac:dyDescent="0.25">
      <c r="A171" s="222"/>
      <c r="B171" s="222"/>
      <c r="C171" s="216"/>
      <c r="D171" s="216"/>
      <c r="E171" s="216"/>
      <c r="F171" s="216"/>
      <c r="G171" s="216"/>
      <c r="H171" s="216"/>
      <c r="L171" s="216"/>
      <c r="N171" s="222"/>
    </row>
    <row r="172" spans="1:14" ht="12.75" customHeight="1" x14ac:dyDescent="0.25">
      <c r="A172" s="222"/>
      <c r="B172" s="222"/>
      <c r="C172" s="216"/>
      <c r="D172" s="216"/>
      <c r="E172" s="216"/>
      <c r="F172" s="216"/>
      <c r="G172" s="216"/>
      <c r="H172" s="216"/>
      <c r="L172" s="216"/>
      <c r="N172" s="222"/>
    </row>
    <row r="173" spans="1:14" ht="12.75" customHeight="1" x14ac:dyDescent="0.25">
      <c r="A173" s="222"/>
      <c r="B173" s="222"/>
      <c r="C173" s="216"/>
      <c r="D173" s="216"/>
      <c r="E173" s="216"/>
      <c r="F173" s="216"/>
      <c r="G173" s="216"/>
      <c r="H173" s="216"/>
      <c r="L173" s="216"/>
      <c r="N173" s="222"/>
    </row>
    <row r="174" spans="1:14" ht="12.75" customHeight="1" x14ac:dyDescent="0.25">
      <c r="A174" s="222"/>
      <c r="B174" s="222"/>
      <c r="C174" s="216"/>
      <c r="D174" s="216"/>
      <c r="E174" s="216"/>
      <c r="F174" s="216"/>
      <c r="G174" s="216"/>
      <c r="H174" s="216"/>
      <c r="L174" s="216"/>
      <c r="N174" s="222"/>
    </row>
    <row r="175" spans="1:14" ht="12.75" customHeight="1" x14ac:dyDescent="0.25">
      <c r="A175" s="222"/>
      <c r="B175" s="222"/>
      <c r="C175" s="216"/>
      <c r="D175" s="216"/>
      <c r="E175" s="216"/>
      <c r="F175" s="216"/>
      <c r="G175" s="216"/>
      <c r="H175" s="216"/>
      <c r="L175" s="216"/>
      <c r="N175" s="222"/>
    </row>
    <row r="176" spans="1:14" ht="12.75" customHeight="1" x14ac:dyDescent="0.25">
      <c r="A176" s="222"/>
      <c r="B176" s="222"/>
      <c r="C176" s="216"/>
      <c r="D176" s="216"/>
      <c r="E176" s="216"/>
      <c r="F176" s="216"/>
      <c r="G176" s="216"/>
      <c r="H176" s="216"/>
      <c r="L176" s="216"/>
      <c r="N176" s="222"/>
    </row>
    <row r="177" spans="1:14" ht="12.75" customHeight="1" x14ac:dyDescent="0.25">
      <c r="A177" s="222"/>
      <c r="B177" s="222"/>
      <c r="C177" s="216"/>
      <c r="D177" s="216"/>
      <c r="E177" s="216"/>
      <c r="F177" s="216"/>
      <c r="G177" s="216"/>
      <c r="H177" s="216"/>
      <c r="L177" s="216"/>
      <c r="N177" s="222"/>
    </row>
    <row r="178" spans="1:14" ht="12.75" customHeight="1" x14ac:dyDescent="0.25">
      <c r="A178" s="222"/>
      <c r="B178" s="222"/>
      <c r="C178" s="216"/>
      <c r="D178" s="216"/>
      <c r="E178" s="216"/>
      <c r="F178" s="216"/>
      <c r="G178" s="216"/>
      <c r="H178" s="216"/>
      <c r="L178" s="216"/>
      <c r="N178" s="222"/>
    </row>
    <row r="179" spans="1:14" ht="12.75" customHeight="1" x14ac:dyDescent="0.25">
      <c r="A179" s="222"/>
      <c r="B179" s="222"/>
      <c r="C179" s="216"/>
      <c r="D179" s="216"/>
      <c r="E179" s="216"/>
      <c r="F179" s="216"/>
      <c r="G179" s="216"/>
      <c r="H179" s="216"/>
      <c r="L179" s="216"/>
      <c r="N179" s="222"/>
    </row>
    <row r="180" spans="1:14" ht="12.75" customHeight="1" x14ac:dyDescent="0.25">
      <c r="A180" s="222"/>
      <c r="B180" s="222"/>
      <c r="C180" s="216"/>
      <c r="D180" s="216"/>
      <c r="E180" s="216"/>
      <c r="F180" s="216"/>
      <c r="G180" s="216"/>
      <c r="H180" s="216"/>
      <c r="L180" s="216"/>
      <c r="N180" s="222"/>
    </row>
    <row r="181" spans="1:14" ht="12.75" customHeight="1" x14ac:dyDescent="0.25">
      <c r="A181" s="222"/>
      <c r="B181" s="222"/>
      <c r="C181" s="216"/>
      <c r="D181" s="216"/>
      <c r="E181" s="216"/>
      <c r="F181" s="216"/>
      <c r="G181" s="216"/>
      <c r="H181" s="216"/>
      <c r="L181" s="216"/>
      <c r="N181" s="222"/>
    </row>
    <row r="182" spans="1:14" ht="12.75" customHeight="1" x14ac:dyDescent="0.25">
      <c r="A182" s="222"/>
      <c r="B182" s="222"/>
      <c r="C182" s="216"/>
      <c r="D182" s="216"/>
      <c r="E182" s="216"/>
      <c r="F182" s="216"/>
      <c r="G182" s="216"/>
      <c r="H182" s="216"/>
      <c r="L182" s="216"/>
      <c r="N182" s="222"/>
    </row>
    <row r="183" spans="1:14" ht="12.75" customHeight="1" x14ac:dyDescent="0.25">
      <c r="A183" s="222"/>
      <c r="B183" s="222"/>
      <c r="C183" s="216"/>
      <c r="D183" s="216"/>
      <c r="E183" s="216"/>
      <c r="F183" s="216"/>
      <c r="G183" s="216"/>
      <c r="H183" s="216"/>
      <c r="L183" s="216"/>
      <c r="N183" s="222"/>
    </row>
    <row r="184" spans="1:14" ht="12.75" customHeight="1" x14ac:dyDescent="0.25">
      <c r="A184" s="222"/>
      <c r="B184" s="222"/>
      <c r="C184" s="216"/>
      <c r="D184" s="216"/>
      <c r="E184" s="216"/>
      <c r="F184" s="216"/>
      <c r="G184" s="216"/>
      <c r="H184" s="216"/>
      <c r="L184" s="216"/>
      <c r="N184" s="222"/>
    </row>
    <row r="185" spans="1:14" ht="12.75" customHeight="1" x14ac:dyDescent="0.25">
      <c r="A185" s="222"/>
      <c r="B185" s="222"/>
      <c r="C185" s="216"/>
      <c r="D185" s="216"/>
      <c r="E185" s="216"/>
      <c r="F185" s="216"/>
      <c r="G185" s="216"/>
      <c r="H185" s="216"/>
      <c r="L185" s="216"/>
      <c r="N185" s="222"/>
    </row>
    <row r="186" spans="1:14" ht="12.75" customHeight="1" x14ac:dyDescent="0.25">
      <c r="A186" s="222"/>
      <c r="B186" s="222"/>
      <c r="C186" s="216"/>
      <c r="D186" s="216"/>
      <c r="E186" s="216"/>
      <c r="F186" s="216"/>
      <c r="G186" s="216"/>
      <c r="H186" s="216"/>
      <c r="L186" s="216"/>
      <c r="N186" s="222"/>
    </row>
    <row r="187" spans="1:14" ht="12.75" customHeight="1" x14ac:dyDescent="0.25">
      <c r="A187" s="222"/>
      <c r="B187" s="222"/>
      <c r="C187" s="216"/>
      <c r="D187" s="216"/>
      <c r="E187" s="216"/>
      <c r="F187" s="216"/>
      <c r="G187" s="216"/>
      <c r="H187" s="216"/>
      <c r="L187" s="216"/>
      <c r="N187" s="222"/>
    </row>
    <row r="188" spans="1:14" ht="12.75" customHeight="1" x14ac:dyDescent="0.25">
      <c r="A188" s="222"/>
      <c r="B188" s="222"/>
      <c r="C188" s="216"/>
      <c r="D188" s="216"/>
      <c r="E188" s="216"/>
      <c r="F188" s="216"/>
      <c r="G188" s="216"/>
      <c r="H188" s="216"/>
      <c r="L188" s="216"/>
      <c r="N188" s="222"/>
    </row>
    <row r="189" spans="1:14" ht="12.75" customHeight="1" x14ac:dyDescent="0.25">
      <c r="A189" s="222"/>
      <c r="B189" s="222"/>
      <c r="C189" s="216"/>
      <c r="D189" s="216"/>
      <c r="E189" s="216"/>
      <c r="F189" s="216"/>
      <c r="G189" s="216"/>
      <c r="H189" s="216"/>
      <c r="L189" s="216"/>
      <c r="N189" s="222"/>
    </row>
    <row r="190" spans="1:14" ht="12.75" customHeight="1" x14ac:dyDescent="0.25">
      <c r="A190" s="222"/>
      <c r="B190" s="222"/>
      <c r="C190" s="216"/>
      <c r="D190" s="216"/>
      <c r="E190" s="216"/>
      <c r="F190" s="216"/>
      <c r="G190" s="216"/>
      <c r="H190" s="216"/>
      <c r="L190" s="216"/>
      <c r="N190" s="222"/>
    </row>
    <row r="191" spans="1:14" ht="12.75" customHeight="1" x14ac:dyDescent="0.25">
      <c r="A191" s="222"/>
      <c r="B191" s="222"/>
      <c r="C191" s="216"/>
      <c r="D191" s="216"/>
      <c r="E191" s="216"/>
      <c r="F191" s="216"/>
      <c r="G191" s="216"/>
      <c r="H191" s="216"/>
      <c r="L191" s="216"/>
      <c r="N191" s="222"/>
    </row>
    <row r="192" spans="1:14" ht="12.75" customHeight="1" x14ac:dyDescent="0.25">
      <c r="A192" s="222"/>
      <c r="B192" s="222"/>
      <c r="C192" s="216"/>
      <c r="D192" s="216"/>
      <c r="E192" s="216"/>
      <c r="F192" s="216"/>
      <c r="G192" s="216"/>
      <c r="H192" s="216"/>
      <c r="L192" s="216"/>
      <c r="N192" s="222"/>
    </row>
    <row r="193" spans="1:14" ht="12.75" customHeight="1" x14ac:dyDescent="0.25">
      <c r="A193" s="222"/>
      <c r="B193" s="222"/>
      <c r="C193" s="216"/>
      <c r="D193" s="216"/>
      <c r="E193" s="216"/>
      <c r="F193" s="216"/>
      <c r="G193" s="216"/>
      <c r="H193" s="216"/>
      <c r="L193" s="216"/>
      <c r="N193" s="222"/>
    </row>
    <row r="194" spans="1:14" ht="12.75" customHeight="1" x14ac:dyDescent="0.25">
      <c r="A194" s="222"/>
      <c r="B194" s="222"/>
      <c r="C194" s="216"/>
      <c r="D194" s="216"/>
      <c r="E194" s="216"/>
      <c r="F194" s="216"/>
      <c r="G194" s="216"/>
      <c r="H194" s="216"/>
      <c r="L194" s="216"/>
      <c r="N194" s="222"/>
    </row>
    <row r="195" spans="1:14" ht="12.75" customHeight="1" x14ac:dyDescent="0.25">
      <c r="A195" s="222"/>
      <c r="B195" s="222"/>
      <c r="C195" s="216"/>
      <c r="D195" s="216"/>
      <c r="E195" s="216"/>
      <c r="F195" s="216"/>
      <c r="G195" s="216"/>
      <c r="H195" s="216"/>
      <c r="L195" s="216"/>
      <c r="N195" s="222"/>
    </row>
    <row r="196" spans="1:14" ht="12.75" customHeight="1" x14ac:dyDescent="0.25">
      <c r="A196" s="222"/>
      <c r="B196" s="222"/>
      <c r="C196" s="216"/>
      <c r="D196" s="216"/>
      <c r="E196" s="216"/>
      <c r="F196" s="216"/>
      <c r="G196" s="216"/>
      <c r="H196" s="216"/>
      <c r="L196" s="216"/>
      <c r="N196" s="222"/>
    </row>
    <row r="197" spans="1:14" ht="12.75" customHeight="1" x14ac:dyDescent="0.25">
      <c r="A197" s="222"/>
      <c r="B197" s="222"/>
      <c r="C197" s="216"/>
      <c r="D197" s="216"/>
      <c r="E197" s="216"/>
      <c r="F197" s="216"/>
      <c r="G197" s="216"/>
      <c r="H197" s="216"/>
      <c r="L197" s="216"/>
      <c r="N197" s="222"/>
    </row>
    <row r="198" spans="1:14" ht="12.75" customHeight="1" x14ac:dyDescent="0.25">
      <c r="A198" s="222"/>
      <c r="B198" s="222"/>
      <c r="C198" s="216"/>
      <c r="D198" s="216"/>
      <c r="E198" s="216"/>
      <c r="F198" s="216"/>
      <c r="G198" s="216"/>
      <c r="H198" s="216"/>
      <c r="L198" s="216"/>
      <c r="N198" s="222"/>
    </row>
    <row r="199" spans="1:14" ht="12.75" customHeight="1" x14ac:dyDescent="0.25">
      <c r="A199" s="222"/>
      <c r="B199" s="222"/>
      <c r="C199" s="216"/>
      <c r="D199" s="216"/>
      <c r="E199" s="216"/>
      <c r="F199" s="216"/>
      <c r="G199" s="216"/>
      <c r="H199" s="216"/>
      <c r="L199" s="216"/>
      <c r="N199" s="222"/>
    </row>
    <row r="200" spans="1:14" ht="12.75" customHeight="1" x14ac:dyDescent="0.25">
      <c r="A200" s="222"/>
      <c r="B200" s="222"/>
      <c r="C200" s="216"/>
      <c r="D200" s="216"/>
      <c r="E200" s="216"/>
      <c r="F200" s="216"/>
      <c r="G200" s="216"/>
      <c r="H200" s="216"/>
      <c r="L200" s="216"/>
      <c r="N200" s="222"/>
    </row>
    <row r="201" spans="1:14" ht="12.75" customHeight="1" x14ac:dyDescent="0.25">
      <c r="A201" s="222"/>
      <c r="B201" s="222"/>
      <c r="C201" s="216"/>
      <c r="D201" s="216"/>
      <c r="E201" s="216"/>
      <c r="F201" s="216"/>
      <c r="G201" s="216"/>
      <c r="H201" s="216"/>
      <c r="L201" s="216"/>
      <c r="N201" s="222"/>
    </row>
    <row r="202" spans="1:14" ht="12.75" customHeight="1" x14ac:dyDescent="0.25">
      <c r="A202" s="222"/>
      <c r="B202" s="222"/>
      <c r="C202" s="216"/>
      <c r="D202" s="216"/>
      <c r="E202" s="216"/>
      <c r="F202" s="216"/>
      <c r="G202" s="216"/>
      <c r="H202" s="216"/>
      <c r="L202" s="216"/>
      <c r="N202" s="222"/>
    </row>
    <row r="203" spans="1:14" ht="12.75" customHeight="1" x14ac:dyDescent="0.25">
      <c r="A203" s="222"/>
      <c r="B203" s="222"/>
      <c r="C203" s="216"/>
      <c r="D203" s="216"/>
      <c r="E203" s="216"/>
      <c r="F203" s="216"/>
      <c r="G203" s="216"/>
      <c r="H203" s="216"/>
      <c r="L203" s="216"/>
      <c r="N203" s="222"/>
    </row>
    <row r="204" spans="1:14" ht="12.75" customHeight="1" x14ac:dyDescent="0.25">
      <c r="A204" s="222"/>
      <c r="B204" s="222"/>
      <c r="C204" s="216"/>
      <c r="D204" s="216"/>
      <c r="E204" s="216"/>
      <c r="F204" s="216"/>
      <c r="G204" s="216"/>
      <c r="H204" s="216"/>
      <c r="L204" s="216"/>
      <c r="N204" s="222"/>
    </row>
    <row r="205" spans="1:14" ht="12.75" customHeight="1" x14ac:dyDescent="0.25">
      <c r="A205" s="222"/>
      <c r="B205" s="222"/>
      <c r="C205" s="216"/>
      <c r="D205" s="216"/>
      <c r="E205" s="216"/>
      <c r="F205" s="216"/>
      <c r="G205" s="216"/>
      <c r="H205" s="216"/>
      <c r="L205" s="216"/>
      <c r="N205" s="222"/>
    </row>
    <row r="206" spans="1:14" ht="12.75" customHeight="1" x14ac:dyDescent="0.25">
      <c r="A206" s="222"/>
      <c r="B206" s="222"/>
      <c r="C206" s="216"/>
      <c r="D206" s="216"/>
      <c r="E206" s="216"/>
      <c r="F206" s="216"/>
      <c r="G206" s="216"/>
      <c r="H206" s="216"/>
      <c r="L206" s="216"/>
      <c r="N206" s="222"/>
    </row>
    <row r="207" spans="1:14" ht="12.75" customHeight="1" x14ac:dyDescent="0.25">
      <c r="A207" s="222"/>
      <c r="B207" s="222"/>
      <c r="C207" s="216"/>
      <c r="D207" s="216"/>
      <c r="E207" s="216"/>
      <c r="F207" s="216"/>
      <c r="G207" s="216"/>
      <c r="H207" s="216"/>
      <c r="L207" s="216"/>
      <c r="N207" s="222"/>
    </row>
    <row r="208" spans="1:14" ht="12.75" customHeight="1" x14ac:dyDescent="0.25">
      <c r="A208" s="222"/>
      <c r="B208" s="222"/>
      <c r="C208" s="216"/>
      <c r="D208" s="216"/>
      <c r="E208" s="216"/>
      <c r="F208" s="216"/>
      <c r="G208" s="216"/>
      <c r="H208" s="216"/>
      <c r="L208" s="216"/>
      <c r="N208" s="222"/>
    </row>
    <row r="209" spans="1:14" ht="12.75" customHeight="1" x14ac:dyDescent="0.25">
      <c r="A209" s="222"/>
      <c r="B209" s="222"/>
      <c r="C209" s="216"/>
      <c r="D209" s="216"/>
      <c r="E209" s="216"/>
      <c r="F209" s="216"/>
      <c r="G209" s="216"/>
      <c r="H209" s="216"/>
      <c r="L209" s="216"/>
      <c r="N209" s="222"/>
    </row>
    <row r="210" spans="1:14" ht="12.75" customHeight="1" x14ac:dyDescent="0.25">
      <c r="A210" s="222"/>
      <c r="B210" s="222"/>
      <c r="C210" s="216"/>
      <c r="D210" s="216"/>
      <c r="E210" s="216"/>
      <c r="F210" s="216"/>
      <c r="G210" s="216"/>
      <c r="H210" s="216"/>
      <c r="L210" s="216"/>
      <c r="N210" s="222"/>
    </row>
    <row r="211" spans="1:14" ht="12.75" customHeight="1" x14ac:dyDescent="0.25">
      <c r="A211" s="222"/>
      <c r="B211" s="222"/>
      <c r="C211" s="216"/>
      <c r="D211" s="216"/>
      <c r="E211" s="216"/>
      <c r="F211" s="216"/>
      <c r="G211" s="216"/>
      <c r="H211" s="216"/>
      <c r="L211" s="216"/>
      <c r="N211" s="222"/>
    </row>
    <row r="212" spans="1:14" ht="12.75" customHeight="1" x14ac:dyDescent="0.25">
      <c r="A212" s="222"/>
      <c r="B212" s="222"/>
      <c r="C212" s="216"/>
      <c r="D212" s="216"/>
      <c r="E212" s="216"/>
      <c r="F212" s="216"/>
      <c r="G212" s="216"/>
      <c r="H212" s="216"/>
      <c r="L212" s="216"/>
      <c r="N212" s="222"/>
    </row>
    <row r="213" spans="1:14" ht="12.75" customHeight="1" x14ac:dyDescent="0.25">
      <c r="A213" s="222"/>
      <c r="B213" s="222"/>
      <c r="C213" s="216"/>
      <c r="D213" s="216"/>
      <c r="E213" s="216"/>
      <c r="F213" s="216"/>
      <c r="G213" s="216"/>
      <c r="H213" s="216"/>
      <c r="L213" s="216"/>
      <c r="N213" s="222"/>
    </row>
    <row r="214" spans="1:14" ht="12.75" customHeight="1" x14ac:dyDescent="0.25">
      <c r="A214" s="222"/>
      <c r="B214" s="222"/>
      <c r="C214" s="216"/>
      <c r="D214" s="216"/>
      <c r="E214" s="216"/>
      <c r="F214" s="216"/>
      <c r="G214" s="216"/>
      <c r="H214" s="216"/>
      <c r="L214" s="216"/>
      <c r="N214" s="222"/>
    </row>
    <row r="215" spans="1:14" ht="12.75" customHeight="1" x14ac:dyDescent="0.25">
      <c r="A215" s="222"/>
      <c r="B215" s="222"/>
      <c r="C215" s="216"/>
      <c r="D215" s="216"/>
      <c r="E215" s="216"/>
      <c r="F215" s="216"/>
      <c r="G215" s="216"/>
      <c r="H215" s="216"/>
      <c r="L215" s="216"/>
      <c r="N215" s="222"/>
    </row>
    <row r="216" spans="1:14" ht="12.75" customHeight="1" x14ac:dyDescent="0.25">
      <c r="A216" s="222"/>
      <c r="B216" s="222"/>
      <c r="C216" s="216"/>
      <c r="D216" s="216"/>
      <c r="E216" s="216"/>
      <c r="F216" s="216"/>
      <c r="G216" s="216"/>
      <c r="H216" s="216"/>
      <c r="L216" s="216"/>
      <c r="N216" s="222"/>
    </row>
    <row r="217" spans="1:14" ht="12.75" customHeight="1" x14ac:dyDescent="0.25">
      <c r="A217" s="222"/>
      <c r="B217" s="222"/>
      <c r="C217" s="216"/>
      <c r="D217" s="216"/>
      <c r="E217" s="216"/>
      <c r="F217" s="216"/>
      <c r="G217" s="216"/>
      <c r="H217" s="216"/>
      <c r="L217" s="216"/>
      <c r="N217" s="222"/>
    </row>
    <row r="218" spans="1:14" ht="12.75" customHeight="1" x14ac:dyDescent="0.25">
      <c r="A218" s="222"/>
      <c r="B218" s="222"/>
      <c r="C218" s="216"/>
      <c r="D218" s="216"/>
      <c r="E218" s="216"/>
      <c r="F218" s="216"/>
      <c r="G218" s="216"/>
      <c r="H218" s="216"/>
      <c r="L218" s="216"/>
      <c r="N218" s="222"/>
    </row>
    <row r="219" spans="1:14" ht="12.75" customHeight="1" x14ac:dyDescent="0.25">
      <c r="A219" s="222"/>
      <c r="B219" s="222"/>
      <c r="C219" s="216"/>
      <c r="D219" s="216"/>
      <c r="E219" s="216"/>
      <c r="F219" s="216"/>
      <c r="G219" s="216"/>
      <c r="H219" s="216"/>
      <c r="L219" s="216"/>
      <c r="N219" s="222"/>
    </row>
    <row r="220" spans="1:14" ht="12.75" customHeight="1" x14ac:dyDescent="0.25">
      <c r="A220" s="222"/>
      <c r="B220" s="222"/>
      <c r="C220" s="216"/>
      <c r="D220" s="216"/>
      <c r="E220" s="216"/>
      <c r="F220" s="216"/>
      <c r="G220" s="216"/>
      <c r="H220" s="216"/>
      <c r="L220" s="216"/>
      <c r="N220" s="222"/>
    </row>
    <row r="221" spans="1:14" ht="12.75" customHeight="1" x14ac:dyDescent="0.25">
      <c r="A221" s="222"/>
      <c r="B221" s="222"/>
      <c r="C221" s="216"/>
      <c r="D221" s="216"/>
      <c r="E221" s="216"/>
      <c r="F221" s="216"/>
      <c r="G221" s="216"/>
      <c r="H221" s="216"/>
      <c r="L221" s="216"/>
      <c r="N221" s="222"/>
    </row>
    <row r="222" spans="1:14" ht="12.75" customHeight="1" x14ac:dyDescent="0.25">
      <c r="A222" s="222"/>
      <c r="B222" s="222"/>
      <c r="C222" s="216"/>
      <c r="D222" s="216"/>
      <c r="E222" s="216"/>
      <c r="F222" s="216"/>
      <c r="G222" s="216"/>
      <c r="H222" s="216"/>
      <c r="L222" s="216"/>
      <c r="N222" s="222"/>
    </row>
    <row r="223" spans="1:14" ht="12.75" customHeight="1" x14ac:dyDescent="0.25">
      <c r="A223" s="222"/>
      <c r="B223" s="222"/>
      <c r="C223" s="216"/>
      <c r="D223" s="216"/>
      <c r="E223" s="216"/>
      <c r="F223" s="216"/>
      <c r="G223" s="216"/>
      <c r="H223" s="216"/>
      <c r="L223" s="216"/>
      <c r="N223" s="222"/>
    </row>
    <row r="224" spans="1:14" ht="12.75" customHeight="1" x14ac:dyDescent="0.25">
      <c r="A224" s="222"/>
      <c r="B224" s="222"/>
      <c r="C224" s="216"/>
      <c r="D224" s="216"/>
      <c r="E224" s="216"/>
      <c r="F224" s="216"/>
      <c r="G224" s="216"/>
      <c r="H224" s="216"/>
      <c r="L224" s="216"/>
      <c r="N224" s="222"/>
    </row>
    <row r="225" spans="1:14" ht="12.75" customHeight="1" x14ac:dyDescent="0.25">
      <c r="A225" s="222"/>
      <c r="B225" s="222"/>
      <c r="C225" s="216"/>
      <c r="D225" s="216"/>
      <c r="E225" s="216"/>
      <c r="F225" s="216"/>
      <c r="G225" s="216"/>
      <c r="H225" s="216"/>
      <c r="L225" s="216"/>
      <c r="N225" s="222"/>
    </row>
    <row r="226" spans="1:14" ht="12.75" customHeight="1" x14ac:dyDescent="0.25">
      <c r="A226" s="222"/>
      <c r="B226" s="222"/>
      <c r="C226" s="216"/>
      <c r="D226" s="216"/>
      <c r="E226" s="216"/>
      <c r="F226" s="216"/>
      <c r="G226" s="216"/>
      <c r="H226" s="216"/>
      <c r="L226" s="216"/>
      <c r="N226" s="222"/>
    </row>
    <row r="227" spans="1:14" ht="12.75" customHeight="1" x14ac:dyDescent="0.25">
      <c r="A227" s="222"/>
      <c r="B227" s="222"/>
      <c r="C227" s="216"/>
      <c r="D227" s="216"/>
      <c r="E227" s="216"/>
      <c r="F227" s="216"/>
      <c r="G227" s="216"/>
      <c r="H227" s="216"/>
      <c r="L227" s="216"/>
      <c r="N227" s="222"/>
    </row>
    <row r="228" spans="1:14" ht="12.75" customHeight="1" x14ac:dyDescent="0.25">
      <c r="A228" s="222"/>
      <c r="B228" s="222"/>
      <c r="C228" s="216"/>
      <c r="D228" s="216"/>
      <c r="E228" s="216"/>
      <c r="F228" s="216"/>
      <c r="G228" s="216"/>
      <c r="H228" s="216"/>
      <c r="L228" s="216"/>
      <c r="N228" s="222"/>
    </row>
    <row r="229" spans="1:14" ht="12.75" customHeight="1" x14ac:dyDescent="0.25">
      <c r="A229" s="222"/>
      <c r="B229" s="222"/>
      <c r="C229" s="216"/>
      <c r="D229" s="216"/>
      <c r="E229" s="216"/>
      <c r="F229" s="216"/>
      <c r="G229" s="216"/>
      <c r="H229" s="216"/>
      <c r="L229" s="216"/>
      <c r="N229" s="222"/>
    </row>
    <row r="230" spans="1:14" ht="12.75" customHeight="1" x14ac:dyDescent="0.25">
      <c r="A230" s="222"/>
      <c r="B230" s="222"/>
      <c r="C230" s="216"/>
      <c r="D230" s="216"/>
      <c r="E230" s="216"/>
      <c r="F230" s="216"/>
      <c r="G230" s="216"/>
      <c r="H230" s="216"/>
      <c r="L230" s="216"/>
      <c r="N230" s="222"/>
    </row>
    <row r="231" spans="1:14" ht="12.75" customHeight="1" x14ac:dyDescent="0.25">
      <c r="A231" s="222"/>
      <c r="B231" s="222"/>
      <c r="C231" s="216"/>
      <c r="D231" s="216"/>
      <c r="E231" s="216"/>
      <c r="F231" s="216"/>
      <c r="G231" s="216"/>
      <c r="H231" s="216"/>
      <c r="L231" s="216"/>
      <c r="N231" s="222"/>
    </row>
    <row r="232" spans="1:14" ht="12.75" customHeight="1" x14ac:dyDescent="0.25">
      <c r="A232" s="222"/>
      <c r="B232" s="222"/>
      <c r="C232" s="216"/>
      <c r="D232" s="216"/>
      <c r="E232" s="216"/>
      <c r="F232" s="216"/>
      <c r="G232" s="216"/>
      <c r="H232" s="216"/>
      <c r="L232" s="216"/>
      <c r="N232" s="222"/>
    </row>
    <row r="233" spans="1:14" ht="12.75" customHeight="1" x14ac:dyDescent="0.25">
      <c r="A233" s="222"/>
      <c r="B233" s="222"/>
      <c r="C233" s="216"/>
      <c r="D233" s="216"/>
      <c r="E233" s="216"/>
      <c r="F233" s="216"/>
      <c r="G233" s="216"/>
      <c r="H233" s="216"/>
      <c r="L233" s="216"/>
      <c r="N233" s="222"/>
    </row>
    <row r="234" spans="1:14" ht="12.75" customHeight="1" x14ac:dyDescent="0.25">
      <c r="A234" s="222"/>
      <c r="B234" s="222"/>
      <c r="C234" s="216"/>
      <c r="D234" s="216"/>
      <c r="E234" s="216"/>
      <c r="F234" s="216"/>
      <c r="G234" s="216"/>
      <c r="H234" s="216"/>
      <c r="L234" s="216"/>
      <c r="N234" s="222"/>
    </row>
    <row r="235" spans="1:14" ht="12.75" customHeight="1" x14ac:dyDescent="0.25">
      <c r="A235" s="222"/>
      <c r="B235" s="222"/>
      <c r="C235" s="216"/>
      <c r="D235" s="216"/>
      <c r="E235" s="216"/>
      <c r="F235" s="216"/>
      <c r="G235" s="216"/>
      <c r="H235" s="216"/>
      <c r="L235" s="216"/>
      <c r="N235" s="222"/>
    </row>
    <row r="236" spans="1:14" ht="12.75" customHeight="1" x14ac:dyDescent="0.25">
      <c r="A236" s="222"/>
      <c r="B236" s="222"/>
      <c r="C236" s="216"/>
      <c r="D236" s="216"/>
      <c r="E236" s="216"/>
      <c r="F236" s="216"/>
      <c r="G236" s="216"/>
      <c r="H236" s="216"/>
      <c r="L236" s="216"/>
      <c r="N236" s="222"/>
    </row>
    <row r="237" spans="1:14" ht="12.75" customHeight="1" x14ac:dyDescent="0.25">
      <c r="A237" s="222"/>
      <c r="B237" s="222"/>
      <c r="C237" s="216"/>
      <c r="D237" s="216"/>
      <c r="E237" s="216"/>
      <c r="F237" s="216"/>
      <c r="G237" s="216"/>
      <c r="H237" s="216"/>
      <c r="L237" s="216"/>
      <c r="N237" s="222"/>
    </row>
    <row r="238" spans="1:14" ht="12.75" customHeight="1" x14ac:dyDescent="0.25">
      <c r="A238" s="222"/>
      <c r="B238" s="222"/>
      <c r="C238" s="216"/>
      <c r="D238" s="216"/>
      <c r="E238" s="216"/>
      <c r="F238" s="216"/>
      <c r="G238" s="216"/>
      <c r="H238" s="216"/>
      <c r="L238" s="216"/>
      <c r="N238" s="222"/>
    </row>
    <row r="239" spans="1:14" ht="12.75" customHeight="1" x14ac:dyDescent="0.25">
      <c r="A239" s="222"/>
      <c r="B239" s="222"/>
      <c r="C239" s="216"/>
      <c r="D239" s="216"/>
      <c r="E239" s="216"/>
      <c r="F239" s="216"/>
      <c r="G239" s="216"/>
      <c r="H239" s="216"/>
      <c r="L239" s="216"/>
      <c r="N239" s="222"/>
    </row>
    <row r="240" spans="1:14" ht="12.75" customHeight="1" x14ac:dyDescent="0.25">
      <c r="A240" s="222"/>
      <c r="B240" s="222"/>
      <c r="C240" s="216"/>
      <c r="D240" s="216"/>
      <c r="E240" s="216"/>
      <c r="F240" s="216"/>
      <c r="G240" s="216"/>
      <c r="H240" s="216"/>
      <c r="L240" s="216"/>
      <c r="N240" s="222"/>
    </row>
    <row r="241" spans="1:14" ht="12.75" customHeight="1" x14ac:dyDescent="0.25">
      <c r="A241" s="222"/>
      <c r="B241" s="222"/>
      <c r="C241" s="216"/>
      <c r="D241" s="216"/>
      <c r="E241" s="216"/>
      <c r="F241" s="216"/>
      <c r="G241" s="216"/>
      <c r="H241" s="216"/>
      <c r="L241" s="216"/>
      <c r="N241" s="222"/>
    </row>
    <row r="242" spans="1:14" ht="12.75" customHeight="1" x14ac:dyDescent="0.25">
      <c r="A242" s="222"/>
      <c r="B242" s="222"/>
      <c r="C242" s="216"/>
      <c r="D242" s="216"/>
      <c r="E242" s="216"/>
      <c r="F242" s="216"/>
      <c r="G242" s="216"/>
      <c r="H242" s="216"/>
      <c r="L242" s="216"/>
      <c r="N242" s="222"/>
    </row>
    <row r="243" spans="1:14" ht="12.75" customHeight="1" x14ac:dyDescent="0.25">
      <c r="A243" s="222"/>
      <c r="B243" s="222"/>
      <c r="C243" s="216"/>
      <c r="D243" s="216"/>
      <c r="E243" s="216"/>
      <c r="F243" s="216"/>
      <c r="G243" s="216"/>
      <c r="H243" s="216"/>
      <c r="L243" s="216"/>
      <c r="N243" s="222"/>
    </row>
    <row r="244" spans="1:14" ht="12.75" customHeight="1" x14ac:dyDescent="0.25">
      <c r="A244" s="222"/>
      <c r="B244" s="222"/>
      <c r="C244" s="216"/>
      <c r="D244" s="216"/>
      <c r="E244" s="216"/>
      <c r="F244" s="216"/>
      <c r="G244" s="216"/>
      <c r="H244" s="216"/>
      <c r="L244" s="216"/>
      <c r="N244" s="222"/>
    </row>
    <row r="245" spans="1:14" ht="12.75" customHeight="1" x14ac:dyDescent="0.25">
      <c r="A245" s="222"/>
      <c r="B245" s="222"/>
      <c r="C245" s="216"/>
      <c r="D245" s="216"/>
      <c r="E245" s="216"/>
      <c r="F245" s="216"/>
      <c r="G245" s="216"/>
      <c r="H245" s="216"/>
      <c r="L245" s="216"/>
      <c r="N245" s="222"/>
    </row>
    <row r="246" spans="1:14" ht="12.75" customHeight="1" x14ac:dyDescent="0.25">
      <c r="A246" s="222"/>
      <c r="B246" s="222"/>
      <c r="C246" s="216"/>
      <c r="D246" s="216"/>
      <c r="E246" s="216"/>
      <c r="F246" s="216"/>
      <c r="G246" s="216"/>
      <c r="H246" s="216"/>
      <c r="L246" s="216"/>
      <c r="N246" s="222"/>
    </row>
    <row r="247" spans="1:14" ht="12.75" customHeight="1" x14ac:dyDescent="0.25">
      <c r="A247" s="222"/>
      <c r="B247" s="222"/>
      <c r="C247" s="216"/>
      <c r="D247" s="216"/>
      <c r="E247" s="216"/>
      <c r="F247" s="216"/>
      <c r="G247" s="216"/>
      <c r="H247" s="216"/>
      <c r="L247" s="216"/>
      <c r="N247" s="222"/>
    </row>
    <row r="248" spans="1:14" ht="12.75" customHeight="1" x14ac:dyDescent="0.25">
      <c r="A248" s="222"/>
      <c r="B248" s="222"/>
      <c r="C248" s="216"/>
      <c r="D248" s="216"/>
      <c r="E248" s="216"/>
      <c r="F248" s="216"/>
      <c r="G248" s="216"/>
      <c r="H248" s="216"/>
      <c r="L248" s="216"/>
      <c r="N248" s="222"/>
    </row>
    <row r="249" spans="1:14" ht="12.75" customHeight="1" x14ac:dyDescent="0.25">
      <c r="A249" s="222"/>
      <c r="B249" s="222"/>
      <c r="C249" s="216"/>
      <c r="D249" s="216"/>
      <c r="E249" s="216"/>
      <c r="F249" s="216"/>
      <c r="G249" s="216"/>
      <c r="H249" s="216"/>
      <c r="L249" s="216"/>
      <c r="N249" s="222"/>
    </row>
    <row r="250" spans="1:14" ht="12.75" customHeight="1" x14ac:dyDescent="0.25">
      <c r="A250" s="222"/>
      <c r="B250" s="222"/>
      <c r="C250" s="216"/>
      <c r="D250" s="216"/>
      <c r="E250" s="216"/>
      <c r="F250" s="216"/>
      <c r="G250" s="216"/>
      <c r="H250" s="216"/>
      <c r="L250" s="216"/>
      <c r="N250" s="222"/>
    </row>
    <row r="251" spans="1:14" ht="12.75" customHeight="1" x14ac:dyDescent="0.25">
      <c r="A251" s="222"/>
      <c r="B251" s="222"/>
      <c r="C251" s="216"/>
      <c r="D251" s="216"/>
      <c r="E251" s="216"/>
      <c r="F251" s="216"/>
      <c r="G251" s="216"/>
      <c r="H251" s="216"/>
      <c r="L251" s="216"/>
      <c r="N251" s="222"/>
    </row>
    <row r="252" spans="1:14" ht="12.75" customHeight="1" x14ac:dyDescent="0.25">
      <c r="A252" s="222"/>
      <c r="B252" s="222"/>
      <c r="C252" s="216"/>
      <c r="D252" s="216"/>
      <c r="E252" s="216"/>
      <c r="F252" s="216"/>
      <c r="G252" s="216"/>
      <c r="H252" s="216"/>
      <c r="L252" s="216"/>
      <c r="N252" s="222"/>
    </row>
    <row r="253" spans="1:14" ht="12.75" customHeight="1" x14ac:dyDescent="0.25">
      <c r="A253" s="222"/>
      <c r="B253" s="222"/>
      <c r="C253" s="216"/>
      <c r="D253" s="216"/>
      <c r="E253" s="216"/>
      <c r="F253" s="216"/>
      <c r="G253" s="216"/>
      <c r="H253" s="216"/>
      <c r="L253" s="216"/>
      <c r="N253" s="222"/>
    </row>
    <row r="254" spans="1:14" ht="12.75" customHeight="1" x14ac:dyDescent="0.25">
      <c r="A254" s="222"/>
      <c r="B254" s="222"/>
      <c r="C254" s="216"/>
      <c r="D254" s="216"/>
      <c r="E254" s="216"/>
      <c r="F254" s="216"/>
      <c r="G254" s="216"/>
      <c r="H254" s="216"/>
      <c r="L254" s="216"/>
      <c r="N254" s="222"/>
    </row>
    <row r="255" spans="1:14" ht="12.75" customHeight="1" x14ac:dyDescent="0.25">
      <c r="A255" s="222"/>
      <c r="B255" s="222"/>
      <c r="C255" s="216"/>
      <c r="D255" s="216"/>
      <c r="E255" s="216"/>
      <c r="F255" s="216"/>
      <c r="G255" s="216"/>
      <c r="H255" s="216"/>
      <c r="L255" s="216"/>
      <c r="N255" s="222"/>
    </row>
    <row r="256" spans="1:14" ht="12.75" customHeight="1" x14ac:dyDescent="0.25">
      <c r="A256" s="222"/>
      <c r="B256" s="222"/>
      <c r="C256" s="216"/>
      <c r="D256" s="216"/>
      <c r="E256" s="216"/>
      <c r="F256" s="216"/>
      <c r="G256" s="216"/>
      <c r="H256" s="216"/>
      <c r="L256" s="216"/>
      <c r="N256" s="222"/>
    </row>
    <row r="257" spans="1:14" ht="12.75" customHeight="1" x14ac:dyDescent="0.25">
      <c r="A257" s="222"/>
      <c r="B257" s="222"/>
      <c r="C257" s="216"/>
      <c r="D257" s="216"/>
      <c r="E257" s="216"/>
      <c r="F257" s="216"/>
      <c r="G257" s="216"/>
      <c r="H257" s="216"/>
      <c r="L257" s="216"/>
      <c r="N257" s="222"/>
    </row>
    <row r="258" spans="1:14" ht="12.75" customHeight="1" x14ac:dyDescent="0.25">
      <c r="A258" s="222"/>
      <c r="B258" s="222"/>
      <c r="C258" s="216"/>
      <c r="D258" s="216"/>
      <c r="E258" s="216"/>
      <c r="F258" s="216"/>
      <c r="G258" s="216"/>
      <c r="H258" s="216"/>
      <c r="L258" s="216"/>
      <c r="N258" s="222"/>
    </row>
    <row r="259" spans="1:14" ht="12.75" customHeight="1" x14ac:dyDescent="0.25">
      <c r="A259" s="222"/>
      <c r="B259" s="222"/>
      <c r="C259" s="216"/>
      <c r="D259" s="216"/>
      <c r="E259" s="216"/>
      <c r="F259" s="216"/>
      <c r="G259" s="216"/>
      <c r="H259" s="216"/>
      <c r="L259" s="216"/>
      <c r="N259" s="222"/>
    </row>
    <row r="260" spans="1:14" ht="12.75" customHeight="1" x14ac:dyDescent="0.25">
      <c r="A260" s="222"/>
      <c r="B260" s="222"/>
      <c r="C260" s="216"/>
      <c r="D260" s="216"/>
      <c r="E260" s="216"/>
      <c r="F260" s="216"/>
      <c r="G260" s="216"/>
      <c r="H260" s="216"/>
      <c r="L260" s="216"/>
      <c r="N260" s="222"/>
    </row>
    <row r="261" spans="1:14" ht="12.75" customHeight="1" x14ac:dyDescent="0.25">
      <c r="A261" s="222"/>
      <c r="B261" s="222"/>
      <c r="C261" s="216"/>
      <c r="D261" s="216"/>
      <c r="E261" s="216"/>
      <c r="F261" s="216"/>
      <c r="G261" s="216"/>
      <c r="H261" s="216"/>
      <c r="L261" s="216"/>
      <c r="N261" s="222"/>
    </row>
    <row r="262" spans="1:14" ht="12.75" customHeight="1" x14ac:dyDescent="0.25">
      <c r="A262" s="222"/>
      <c r="B262" s="222"/>
      <c r="C262" s="216"/>
      <c r="D262" s="216"/>
      <c r="E262" s="216"/>
      <c r="F262" s="216"/>
      <c r="G262" s="216"/>
      <c r="H262" s="216"/>
      <c r="L262" s="216"/>
      <c r="N262" s="222"/>
    </row>
    <row r="263" spans="1:14" ht="12.75" customHeight="1" x14ac:dyDescent="0.25">
      <c r="A263" s="222"/>
      <c r="B263" s="222"/>
      <c r="C263" s="216"/>
      <c r="D263" s="216"/>
      <c r="E263" s="216"/>
      <c r="F263" s="216"/>
      <c r="G263" s="216"/>
      <c r="H263" s="216"/>
      <c r="L263" s="216"/>
      <c r="N263" s="222"/>
    </row>
    <row r="264" spans="1:14" ht="12.75" customHeight="1" x14ac:dyDescent="0.25">
      <c r="A264" s="222"/>
      <c r="B264" s="222"/>
      <c r="C264" s="216"/>
      <c r="D264" s="216"/>
      <c r="E264" s="216"/>
      <c r="F264" s="216"/>
      <c r="G264" s="216"/>
      <c r="H264" s="216"/>
      <c r="L264" s="216"/>
      <c r="N264" s="222"/>
    </row>
    <row r="265" spans="1:14" ht="12.75" customHeight="1" x14ac:dyDescent="0.25">
      <c r="A265" s="222"/>
      <c r="B265" s="222"/>
      <c r="C265" s="216"/>
      <c r="D265" s="216"/>
      <c r="E265" s="216"/>
      <c r="F265" s="216"/>
      <c r="G265" s="216"/>
      <c r="H265" s="216"/>
      <c r="L265" s="216"/>
      <c r="N265" s="222"/>
    </row>
    <row r="266" spans="1:14" ht="12.75" customHeight="1" x14ac:dyDescent="0.25">
      <c r="A266" s="222"/>
      <c r="B266" s="222"/>
      <c r="C266" s="216"/>
      <c r="D266" s="216"/>
      <c r="E266" s="216"/>
      <c r="F266" s="216"/>
      <c r="G266" s="216"/>
      <c r="H266" s="216"/>
      <c r="L266" s="216"/>
      <c r="N266" s="222"/>
    </row>
    <row r="267" spans="1:14" ht="12.75" customHeight="1" x14ac:dyDescent="0.25">
      <c r="A267" s="222"/>
      <c r="B267" s="222"/>
      <c r="C267" s="216"/>
      <c r="D267" s="216"/>
      <c r="E267" s="216"/>
      <c r="F267" s="216"/>
      <c r="G267" s="216"/>
      <c r="H267" s="216"/>
      <c r="L267" s="216"/>
      <c r="N267" s="222"/>
    </row>
    <row r="268" spans="1:14" ht="12.75" customHeight="1" x14ac:dyDescent="0.25">
      <c r="A268" s="222"/>
      <c r="B268" s="222"/>
      <c r="C268" s="216"/>
      <c r="D268" s="216"/>
      <c r="E268" s="216"/>
      <c r="F268" s="216"/>
      <c r="G268" s="216"/>
      <c r="H268" s="216"/>
      <c r="L268" s="216"/>
      <c r="N268" s="222"/>
    </row>
    <row r="269" spans="1:14" ht="12.75" customHeight="1" x14ac:dyDescent="0.25">
      <c r="A269" s="222"/>
      <c r="B269" s="222"/>
      <c r="C269" s="216"/>
      <c r="D269" s="216"/>
      <c r="E269" s="216"/>
      <c r="F269" s="216"/>
      <c r="G269" s="216"/>
      <c r="H269" s="216"/>
      <c r="L269" s="216"/>
      <c r="N269" s="222"/>
    </row>
    <row r="270" spans="1:14" ht="12.75" customHeight="1" x14ac:dyDescent="0.25">
      <c r="A270" s="222"/>
      <c r="B270" s="222"/>
      <c r="C270" s="216"/>
      <c r="D270" s="216"/>
      <c r="E270" s="216"/>
      <c r="F270" s="216"/>
      <c r="G270" s="216"/>
      <c r="H270" s="216"/>
      <c r="L270" s="216"/>
      <c r="N270" s="222"/>
    </row>
    <row r="271" spans="1:14" ht="12.75" customHeight="1" x14ac:dyDescent="0.25">
      <c r="A271" s="222"/>
      <c r="B271" s="222"/>
      <c r="C271" s="216"/>
      <c r="D271" s="216"/>
      <c r="E271" s="216"/>
      <c r="F271" s="216"/>
      <c r="G271" s="216"/>
      <c r="H271" s="216"/>
      <c r="L271" s="216"/>
      <c r="N271" s="222"/>
    </row>
    <row r="272" spans="1:14" ht="12.75" customHeight="1" x14ac:dyDescent="0.25">
      <c r="A272" s="222"/>
      <c r="B272" s="222"/>
      <c r="C272" s="216"/>
      <c r="D272" s="216"/>
      <c r="E272" s="216"/>
      <c r="F272" s="216"/>
      <c r="G272" s="216"/>
      <c r="H272" s="216"/>
      <c r="L272" s="216"/>
      <c r="N272" s="222"/>
    </row>
    <row r="273" spans="1:14" ht="12.75" customHeight="1" x14ac:dyDescent="0.25">
      <c r="A273" s="222"/>
      <c r="B273" s="222"/>
      <c r="C273" s="216"/>
      <c r="D273" s="216"/>
      <c r="E273" s="216"/>
      <c r="F273" s="216"/>
      <c r="G273" s="216"/>
      <c r="H273" s="216"/>
      <c r="L273" s="216"/>
      <c r="N273" s="222"/>
    </row>
    <row r="274" spans="1:14" ht="12.75" customHeight="1" x14ac:dyDescent="0.25">
      <c r="A274" s="222"/>
      <c r="B274" s="222"/>
      <c r="C274" s="216"/>
      <c r="D274" s="216"/>
      <c r="E274" s="216"/>
      <c r="F274" s="216"/>
      <c r="G274" s="216"/>
      <c r="H274" s="216"/>
      <c r="L274" s="216"/>
      <c r="N274" s="222"/>
    </row>
    <row r="275" spans="1:14" ht="12.75" customHeight="1" x14ac:dyDescent="0.25">
      <c r="A275" s="222"/>
      <c r="B275" s="222"/>
      <c r="C275" s="216"/>
      <c r="D275" s="216"/>
      <c r="E275" s="216"/>
      <c r="F275" s="216"/>
      <c r="G275" s="216"/>
      <c r="H275" s="216"/>
      <c r="L275" s="216"/>
      <c r="N275" s="222"/>
    </row>
    <row r="276" spans="1:14" ht="12.75" customHeight="1" x14ac:dyDescent="0.25">
      <c r="A276" s="222"/>
      <c r="B276" s="222"/>
      <c r="C276" s="216"/>
      <c r="D276" s="216"/>
      <c r="E276" s="216"/>
      <c r="F276" s="216"/>
      <c r="G276" s="216"/>
      <c r="H276" s="216"/>
      <c r="L276" s="216"/>
      <c r="N276" s="222"/>
    </row>
    <row r="277" spans="1:14" ht="12.75" customHeight="1" x14ac:dyDescent="0.25">
      <c r="A277" s="222"/>
      <c r="B277" s="222"/>
      <c r="C277" s="216"/>
      <c r="D277" s="216"/>
      <c r="E277" s="216"/>
      <c r="F277" s="216"/>
      <c r="G277" s="216"/>
      <c r="H277" s="216"/>
      <c r="L277" s="216"/>
      <c r="N277" s="222"/>
    </row>
    <row r="278" spans="1:14" ht="12.75" customHeight="1" x14ac:dyDescent="0.25">
      <c r="A278" s="222"/>
      <c r="B278" s="222"/>
      <c r="C278" s="216"/>
      <c r="D278" s="216"/>
      <c r="E278" s="216"/>
      <c r="F278" s="216"/>
      <c r="G278" s="216"/>
      <c r="H278" s="216"/>
      <c r="L278" s="216"/>
      <c r="N278" s="222"/>
    </row>
    <row r="279" spans="1:14" ht="12.75" customHeight="1" x14ac:dyDescent="0.25">
      <c r="A279" s="222"/>
      <c r="B279" s="222"/>
      <c r="C279" s="216"/>
      <c r="D279" s="216"/>
      <c r="E279" s="216"/>
      <c r="F279" s="216"/>
      <c r="G279" s="216"/>
      <c r="H279" s="216"/>
      <c r="L279" s="216"/>
      <c r="N279" s="222"/>
    </row>
    <row r="280" spans="1:14" ht="12.75" customHeight="1" x14ac:dyDescent="0.25">
      <c r="A280" s="222"/>
      <c r="B280" s="222"/>
      <c r="C280" s="216"/>
      <c r="D280" s="216"/>
      <c r="E280" s="216"/>
      <c r="F280" s="216"/>
      <c r="G280" s="216"/>
      <c r="H280" s="216"/>
      <c r="L280" s="216"/>
      <c r="N280" s="222"/>
    </row>
    <row r="281" spans="1:14" ht="12.75" customHeight="1" x14ac:dyDescent="0.25">
      <c r="A281" s="222"/>
      <c r="B281" s="222"/>
      <c r="C281" s="216"/>
      <c r="D281" s="216"/>
      <c r="E281" s="216"/>
      <c r="F281" s="216"/>
      <c r="G281" s="216"/>
      <c r="H281" s="216"/>
      <c r="L281" s="216"/>
      <c r="N281" s="222"/>
    </row>
    <row r="282" spans="1:14" ht="12.75" customHeight="1" x14ac:dyDescent="0.25">
      <c r="A282" s="222"/>
      <c r="B282" s="222"/>
      <c r="C282" s="216"/>
      <c r="D282" s="216"/>
      <c r="E282" s="216"/>
      <c r="F282" s="216"/>
      <c r="G282" s="216"/>
      <c r="H282" s="216"/>
      <c r="L282" s="216"/>
      <c r="N282" s="222"/>
    </row>
    <row r="283" spans="1:14" ht="12.75" customHeight="1" x14ac:dyDescent="0.25">
      <c r="A283" s="222"/>
      <c r="B283" s="222"/>
      <c r="C283" s="216"/>
      <c r="D283" s="216"/>
      <c r="E283" s="216"/>
      <c r="F283" s="216"/>
      <c r="G283" s="216"/>
      <c r="H283" s="216"/>
      <c r="L283" s="216"/>
      <c r="N283" s="222"/>
    </row>
    <row r="284" spans="1:14" ht="12.75" customHeight="1" x14ac:dyDescent="0.25">
      <c r="A284" s="222"/>
      <c r="B284" s="222"/>
      <c r="C284" s="216"/>
      <c r="D284" s="216"/>
      <c r="E284" s="216"/>
      <c r="F284" s="216"/>
      <c r="G284" s="216"/>
      <c r="H284" s="216"/>
      <c r="L284" s="216"/>
      <c r="N284" s="222"/>
    </row>
    <row r="285" spans="1:14" ht="12.75" customHeight="1" x14ac:dyDescent="0.25">
      <c r="A285" s="222"/>
      <c r="B285" s="222"/>
      <c r="C285" s="216"/>
      <c r="D285" s="216"/>
      <c r="E285" s="216"/>
      <c r="F285" s="216"/>
      <c r="G285" s="216"/>
      <c r="H285" s="216"/>
      <c r="L285" s="216"/>
      <c r="N285" s="222"/>
    </row>
    <row r="286" spans="1:14" ht="12.75" customHeight="1" x14ac:dyDescent="0.25">
      <c r="A286" s="222"/>
      <c r="B286" s="222"/>
      <c r="C286" s="216"/>
      <c r="D286" s="216"/>
      <c r="E286" s="216"/>
      <c r="F286" s="216"/>
      <c r="G286" s="216"/>
      <c r="H286" s="216"/>
      <c r="L286" s="216"/>
      <c r="N286" s="222"/>
    </row>
    <row r="287" spans="1:14" ht="12.75" customHeight="1" x14ac:dyDescent="0.25">
      <c r="A287" s="222"/>
      <c r="B287" s="222"/>
      <c r="C287" s="216"/>
      <c r="D287" s="216"/>
      <c r="E287" s="216"/>
      <c r="F287" s="216"/>
      <c r="G287" s="216"/>
      <c r="H287" s="216"/>
      <c r="L287" s="216"/>
      <c r="N287" s="222"/>
    </row>
    <row r="288" spans="1:14" ht="12.75" customHeight="1" x14ac:dyDescent="0.25">
      <c r="A288" s="222"/>
      <c r="B288" s="222"/>
      <c r="C288" s="216"/>
      <c r="D288" s="216"/>
      <c r="E288" s="216"/>
      <c r="F288" s="216"/>
      <c r="G288" s="216"/>
      <c r="H288" s="216"/>
      <c r="L288" s="216"/>
      <c r="N288" s="222"/>
    </row>
    <row r="289" spans="1:14" ht="12.75" customHeight="1" x14ac:dyDescent="0.25">
      <c r="A289" s="222"/>
      <c r="B289" s="222"/>
      <c r="C289" s="216"/>
      <c r="D289" s="216"/>
      <c r="E289" s="216"/>
      <c r="F289" s="216"/>
      <c r="G289" s="216"/>
      <c r="H289" s="216"/>
      <c r="L289" s="216"/>
      <c r="N289" s="222"/>
    </row>
    <row r="290" spans="1:14" ht="12.75" customHeight="1" x14ac:dyDescent="0.25">
      <c r="A290" s="222"/>
      <c r="B290" s="222"/>
      <c r="C290" s="216"/>
      <c r="D290" s="216"/>
      <c r="E290" s="216"/>
      <c r="F290" s="216"/>
      <c r="G290" s="216"/>
      <c r="H290" s="216"/>
      <c r="L290" s="216"/>
      <c r="N290" s="222"/>
    </row>
    <row r="291" spans="1:14" ht="12.75" customHeight="1" x14ac:dyDescent="0.25">
      <c r="A291" s="222"/>
      <c r="B291" s="222"/>
      <c r="C291" s="216"/>
      <c r="D291" s="216"/>
      <c r="E291" s="216"/>
      <c r="F291" s="216"/>
      <c r="G291" s="216"/>
      <c r="H291" s="216"/>
      <c r="L291" s="216"/>
      <c r="N291" s="222"/>
    </row>
    <row r="292" spans="1:14" ht="12.75" customHeight="1" x14ac:dyDescent="0.25">
      <c r="A292" s="222"/>
      <c r="B292" s="222"/>
      <c r="C292" s="216"/>
      <c r="D292" s="216"/>
      <c r="E292" s="216"/>
      <c r="F292" s="216"/>
      <c r="G292" s="216"/>
      <c r="H292" s="216"/>
      <c r="L292" s="216"/>
      <c r="N292" s="222"/>
    </row>
    <row r="293" spans="1:14" ht="12.75" customHeight="1" x14ac:dyDescent="0.25">
      <c r="A293" s="222"/>
      <c r="B293" s="222"/>
      <c r="C293" s="216"/>
      <c r="D293" s="216"/>
      <c r="E293" s="216"/>
      <c r="F293" s="216"/>
      <c r="G293" s="216"/>
      <c r="H293" s="216"/>
      <c r="L293" s="216"/>
      <c r="N293" s="222"/>
    </row>
    <row r="294" spans="1:14" ht="12.75" customHeight="1" x14ac:dyDescent="0.25">
      <c r="A294" s="222"/>
      <c r="B294" s="222"/>
      <c r="C294" s="216"/>
      <c r="D294" s="216"/>
      <c r="E294" s="216"/>
      <c r="F294" s="216"/>
      <c r="G294" s="216"/>
      <c r="H294" s="216"/>
      <c r="L294" s="216"/>
      <c r="N294" s="222"/>
    </row>
    <row r="295" spans="1:14" ht="12.75" customHeight="1" x14ac:dyDescent="0.25">
      <c r="A295" s="222"/>
      <c r="B295" s="222"/>
      <c r="C295" s="216"/>
      <c r="D295" s="216"/>
      <c r="E295" s="216"/>
      <c r="F295" s="216"/>
      <c r="G295" s="216"/>
      <c r="H295" s="216"/>
      <c r="L295" s="216"/>
      <c r="N295" s="222"/>
    </row>
    <row r="296" spans="1:14" ht="12.75" customHeight="1" x14ac:dyDescent="0.25">
      <c r="A296" s="222"/>
      <c r="B296" s="222"/>
      <c r="C296" s="216"/>
      <c r="D296" s="216"/>
      <c r="E296" s="216"/>
      <c r="F296" s="216"/>
      <c r="G296" s="216"/>
      <c r="H296" s="216"/>
      <c r="L296" s="216"/>
      <c r="N296" s="222"/>
    </row>
    <row r="297" spans="1:14" ht="12.75" customHeight="1" x14ac:dyDescent="0.25">
      <c r="A297" s="222"/>
      <c r="B297" s="222"/>
      <c r="C297" s="216"/>
      <c r="D297" s="216"/>
      <c r="E297" s="216"/>
      <c r="F297" s="216"/>
      <c r="G297" s="216"/>
      <c r="H297" s="216"/>
      <c r="L297" s="216"/>
      <c r="N297" s="222"/>
    </row>
    <row r="298" spans="1:14" ht="12.75" customHeight="1" x14ac:dyDescent="0.25">
      <c r="A298" s="222"/>
      <c r="B298" s="222"/>
      <c r="C298" s="216"/>
      <c r="D298" s="216"/>
      <c r="E298" s="216"/>
      <c r="F298" s="216"/>
      <c r="G298" s="216"/>
      <c r="H298" s="216"/>
      <c r="L298" s="216"/>
      <c r="N298" s="222"/>
    </row>
    <row r="299" spans="1:14" ht="12.75" customHeight="1" x14ac:dyDescent="0.25">
      <c r="A299" s="222"/>
      <c r="B299" s="222"/>
      <c r="C299" s="216"/>
      <c r="D299" s="216"/>
      <c r="E299" s="216"/>
      <c r="F299" s="216"/>
      <c r="G299" s="216"/>
      <c r="H299" s="216"/>
      <c r="L299" s="216"/>
      <c r="N299" s="222"/>
    </row>
    <row r="300" spans="1:14" ht="12.75" customHeight="1" x14ac:dyDescent="0.25">
      <c r="A300" s="222"/>
      <c r="B300" s="222"/>
      <c r="C300" s="216"/>
      <c r="D300" s="216"/>
      <c r="E300" s="216"/>
      <c r="F300" s="216"/>
      <c r="G300" s="216"/>
      <c r="H300" s="216"/>
      <c r="L300" s="216"/>
      <c r="N300" s="222"/>
    </row>
    <row r="301" spans="1:14" ht="12.75" customHeight="1" x14ac:dyDescent="0.25">
      <c r="A301" s="222"/>
      <c r="B301" s="222"/>
      <c r="C301" s="216"/>
      <c r="D301" s="216"/>
      <c r="E301" s="216"/>
      <c r="F301" s="216"/>
      <c r="G301" s="216"/>
      <c r="H301" s="216"/>
      <c r="L301" s="216"/>
      <c r="N301" s="222"/>
    </row>
    <row r="302" spans="1:14" ht="12.75" customHeight="1" x14ac:dyDescent="0.25">
      <c r="A302" s="222"/>
      <c r="B302" s="222"/>
      <c r="C302" s="216"/>
      <c r="D302" s="216"/>
      <c r="E302" s="216"/>
      <c r="F302" s="216"/>
      <c r="G302" s="216"/>
      <c r="H302" s="216"/>
      <c r="L302" s="216"/>
      <c r="N302" s="222"/>
    </row>
    <row r="303" spans="1:14" ht="12.75" customHeight="1" x14ac:dyDescent="0.25">
      <c r="A303" s="222"/>
      <c r="B303" s="222"/>
      <c r="C303" s="216"/>
      <c r="D303" s="216"/>
      <c r="E303" s="216"/>
      <c r="F303" s="216"/>
      <c r="G303" s="216"/>
      <c r="H303" s="216"/>
      <c r="L303" s="216"/>
      <c r="N303" s="222"/>
    </row>
    <row r="304" spans="1:14" ht="12.75" customHeight="1" x14ac:dyDescent="0.25">
      <c r="A304" s="222"/>
      <c r="B304" s="222"/>
      <c r="C304" s="216"/>
      <c r="D304" s="216"/>
      <c r="E304" s="216"/>
      <c r="F304" s="216"/>
      <c r="G304" s="216"/>
      <c r="H304" s="216"/>
      <c r="L304" s="216"/>
      <c r="N304" s="222"/>
    </row>
    <row r="305" spans="1:14" ht="12.75" customHeight="1" x14ac:dyDescent="0.25">
      <c r="A305" s="222"/>
      <c r="B305" s="222"/>
      <c r="C305" s="216"/>
      <c r="D305" s="216"/>
      <c r="E305" s="216"/>
      <c r="F305" s="216"/>
      <c r="G305" s="216"/>
      <c r="H305" s="216"/>
      <c r="L305" s="216"/>
      <c r="N305" s="222"/>
    </row>
    <row r="306" spans="1:14" ht="12.75" customHeight="1" x14ac:dyDescent="0.25">
      <c r="A306" s="222"/>
      <c r="B306" s="222"/>
      <c r="C306" s="216"/>
      <c r="D306" s="216"/>
      <c r="E306" s="216"/>
      <c r="F306" s="216"/>
      <c r="G306" s="216"/>
      <c r="H306" s="216"/>
      <c r="L306" s="216"/>
      <c r="N306" s="222"/>
    </row>
    <row r="307" spans="1:14" ht="12.75" customHeight="1" x14ac:dyDescent="0.25">
      <c r="A307" s="222"/>
      <c r="B307" s="222"/>
      <c r="C307" s="216"/>
      <c r="D307" s="216"/>
      <c r="E307" s="216"/>
      <c r="F307" s="216"/>
      <c r="G307" s="216"/>
      <c r="H307" s="216"/>
      <c r="L307" s="216"/>
      <c r="N307" s="222"/>
    </row>
    <row r="308" spans="1:14" ht="12.75" customHeight="1" x14ac:dyDescent="0.25">
      <c r="A308" s="222"/>
      <c r="B308" s="222"/>
      <c r="C308" s="216"/>
      <c r="D308" s="216"/>
      <c r="E308" s="216"/>
      <c r="F308" s="216"/>
      <c r="G308" s="216"/>
      <c r="H308" s="216"/>
      <c r="L308" s="216"/>
      <c r="N308" s="222"/>
    </row>
    <row r="309" spans="1:14" ht="12.75" customHeight="1" x14ac:dyDescent="0.25">
      <c r="A309" s="222"/>
      <c r="B309" s="222"/>
      <c r="C309" s="216"/>
      <c r="D309" s="216"/>
      <c r="E309" s="216"/>
      <c r="F309" s="216"/>
      <c r="G309" s="216"/>
      <c r="H309" s="216"/>
      <c r="L309" s="216"/>
      <c r="N309" s="222"/>
    </row>
    <row r="310" spans="1:14" ht="12.75" customHeight="1" x14ac:dyDescent="0.25">
      <c r="A310" s="222"/>
      <c r="B310" s="222"/>
      <c r="C310" s="216"/>
      <c r="D310" s="216"/>
      <c r="E310" s="216"/>
      <c r="F310" s="216"/>
      <c r="G310" s="216"/>
      <c r="H310" s="216"/>
      <c r="L310" s="216"/>
      <c r="N310" s="222"/>
    </row>
    <row r="311" spans="1:14" ht="12.75" customHeight="1" x14ac:dyDescent="0.25">
      <c r="A311" s="222"/>
      <c r="B311" s="222"/>
      <c r="C311" s="216"/>
      <c r="D311" s="216"/>
      <c r="E311" s="216"/>
      <c r="F311" s="216"/>
      <c r="G311" s="216"/>
      <c r="H311" s="216"/>
      <c r="L311" s="216"/>
      <c r="N311" s="222"/>
    </row>
    <row r="312" spans="1:14" ht="12.75" customHeight="1" x14ac:dyDescent="0.25">
      <c r="A312" s="222"/>
      <c r="B312" s="222"/>
      <c r="C312" s="216"/>
      <c r="D312" s="216"/>
      <c r="E312" s="216"/>
      <c r="F312" s="216"/>
      <c r="G312" s="216"/>
      <c r="H312" s="216"/>
      <c r="L312" s="216"/>
      <c r="N312" s="222"/>
    </row>
    <row r="313" spans="1:14" ht="12.75" customHeight="1" x14ac:dyDescent="0.25">
      <c r="A313" s="222"/>
      <c r="B313" s="222"/>
      <c r="C313" s="216"/>
      <c r="D313" s="216"/>
      <c r="E313" s="216"/>
      <c r="F313" s="216"/>
      <c r="G313" s="216"/>
      <c r="H313" s="216"/>
      <c r="L313" s="216"/>
      <c r="N313" s="222"/>
    </row>
    <row r="314" spans="1:14" ht="12.75" customHeight="1" x14ac:dyDescent="0.25">
      <c r="A314" s="222"/>
      <c r="B314" s="222"/>
      <c r="C314" s="216"/>
      <c r="D314" s="216"/>
      <c r="E314" s="216"/>
      <c r="F314" s="216"/>
      <c r="G314" s="216"/>
      <c r="H314" s="216"/>
      <c r="L314" s="216"/>
      <c r="N314" s="222"/>
    </row>
    <row r="315" spans="1:14" ht="12.75" customHeight="1" x14ac:dyDescent="0.25">
      <c r="A315" s="222"/>
      <c r="B315" s="222"/>
      <c r="C315" s="216"/>
      <c r="D315" s="216"/>
      <c r="E315" s="216"/>
      <c r="F315" s="216"/>
      <c r="G315" s="216"/>
      <c r="H315" s="216"/>
      <c r="L315" s="216"/>
      <c r="N315" s="222"/>
    </row>
    <row r="316" spans="1:14" ht="12.75" customHeight="1" x14ac:dyDescent="0.25">
      <c r="A316" s="222"/>
      <c r="B316" s="222"/>
      <c r="C316" s="216"/>
      <c r="D316" s="216"/>
      <c r="E316" s="216"/>
      <c r="F316" s="216"/>
      <c r="G316" s="216"/>
      <c r="H316" s="216"/>
      <c r="L316" s="216"/>
      <c r="N316" s="222"/>
    </row>
    <row r="317" spans="1:14" ht="12.75" customHeight="1" x14ac:dyDescent="0.25">
      <c r="A317" s="222"/>
      <c r="B317" s="222"/>
      <c r="C317" s="216"/>
      <c r="D317" s="216"/>
      <c r="E317" s="216"/>
      <c r="F317" s="216"/>
      <c r="G317" s="216"/>
      <c r="H317" s="216"/>
      <c r="L317" s="216"/>
      <c r="N317" s="222"/>
    </row>
    <row r="318" spans="1:14" ht="12.75" customHeight="1" x14ac:dyDescent="0.25">
      <c r="A318" s="222"/>
      <c r="B318" s="222"/>
      <c r="C318" s="216"/>
      <c r="D318" s="216"/>
      <c r="E318" s="216"/>
      <c r="F318" s="216"/>
      <c r="G318" s="216"/>
      <c r="H318" s="216"/>
      <c r="L318" s="216"/>
      <c r="N318" s="222"/>
    </row>
    <row r="319" spans="1:14" ht="12.75" customHeight="1" x14ac:dyDescent="0.25">
      <c r="A319" s="222"/>
      <c r="B319" s="222"/>
      <c r="C319" s="216"/>
      <c r="D319" s="216"/>
      <c r="E319" s="216"/>
      <c r="F319" s="216"/>
      <c r="G319" s="216"/>
      <c r="H319" s="216"/>
      <c r="L319" s="216"/>
      <c r="N319" s="222"/>
    </row>
    <row r="320" spans="1:14" ht="12.75" customHeight="1" x14ac:dyDescent="0.25">
      <c r="A320" s="222"/>
      <c r="B320" s="222"/>
      <c r="C320" s="216"/>
      <c r="D320" s="216"/>
      <c r="E320" s="216"/>
      <c r="F320" s="216"/>
      <c r="G320" s="216"/>
      <c r="H320" s="216"/>
      <c r="L320" s="216"/>
      <c r="N320" s="222"/>
    </row>
    <row r="321" spans="1:14" ht="12.75" customHeight="1" x14ac:dyDescent="0.25">
      <c r="A321" s="222"/>
      <c r="B321" s="222"/>
      <c r="C321" s="216"/>
      <c r="D321" s="216"/>
      <c r="E321" s="216"/>
      <c r="F321" s="216"/>
      <c r="G321" s="216"/>
      <c r="H321" s="216"/>
      <c r="L321" s="216"/>
      <c r="N321" s="222"/>
    </row>
    <row r="322" spans="1:14" ht="12.75" customHeight="1" x14ac:dyDescent="0.25">
      <c r="A322" s="222"/>
      <c r="B322" s="222"/>
      <c r="C322" s="216"/>
      <c r="D322" s="216"/>
      <c r="E322" s="216"/>
      <c r="F322" s="216"/>
      <c r="G322" s="216"/>
      <c r="H322" s="216"/>
      <c r="L322" s="216"/>
      <c r="N322" s="222"/>
    </row>
    <row r="323" spans="1:14" ht="12.75" customHeight="1" x14ac:dyDescent="0.25">
      <c r="A323" s="222"/>
      <c r="B323" s="222"/>
      <c r="C323" s="216"/>
      <c r="D323" s="216"/>
      <c r="E323" s="216"/>
      <c r="F323" s="216"/>
      <c r="G323" s="216"/>
      <c r="H323" s="216"/>
      <c r="L323" s="216"/>
      <c r="N323" s="222"/>
    </row>
    <row r="324" spans="1:14" ht="12.75" customHeight="1" x14ac:dyDescent="0.25">
      <c r="A324" s="222"/>
      <c r="B324" s="222"/>
      <c r="C324" s="216"/>
      <c r="D324" s="216"/>
      <c r="E324" s="216"/>
      <c r="F324" s="216"/>
      <c r="G324" s="216"/>
      <c r="H324" s="216"/>
      <c r="L324" s="216"/>
      <c r="N324" s="222"/>
    </row>
    <row r="325" spans="1:14" ht="12.75" customHeight="1" x14ac:dyDescent="0.25">
      <c r="A325" s="222"/>
      <c r="B325" s="222"/>
      <c r="C325" s="216"/>
      <c r="D325" s="216"/>
      <c r="E325" s="216"/>
      <c r="F325" s="216"/>
      <c r="G325" s="216"/>
      <c r="H325" s="216"/>
      <c r="L325" s="216"/>
      <c r="N325" s="222"/>
    </row>
    <row r="326" spans="1:14" ht="12.75" customHeight="1" x14ac:dyDescent="0.25">
      <c r="A326" s="222"/>
      <c r="B326" s="222"/>
      <c r="C326" s="216"/>
      <c r="D326" s="216"/>
      <c r="E326" s="216"/>
      <c r="F326" s="216"/>
      <c r="G326" s="216"/>
      <c r="H326" s="216"/>
      <c r="L326" s="216"/>
      <c r="N326" s="222"/>
    </row>
    <row r="327" spans="1:14" ht="12.75" customHeight="1" x14ac:dyDescent="0.25">
      <c r="A327" s="222"/>
      <c r="B327" s="222"/>
      <c r="C327" s="216"/>
      <c r="D327" s="216"/>
      <c r="E327" s="216"/>
      <c r="F327" s="216"/>
      <c r="G327" s="216"/>
      <c r="H327" s="216"/>
      <c r="L327" s="216"/>
      <c r="N327" s="222"/>
    </row>
    <row r="328" spans="1:14" ht="12.75" customHeight="1" x14ac:dyDescent="0.25">
      <c r="A328" s="222"/>
      <c r="B328" s="222"/>
      <c r="C328" s="216"/>
      <c r="D328" s="216"/>
      <c r="E328" s="216"/>
      <c r="F328" s="216"/>
      <c r="G328" s="216"/>
      <c r="H328" s="216"/>
      <c r="L328" s="216"/>
      <c r="N328" s="222"/>
    </row>
    <row r="329" spans="1:14" ht="12.75" customHeight="1" x14ac:dyDescent="0.25">
      <c r="A329" s="222"/>
      <c r="B329" s="222"/>
      <c r="C329" s="216"/>
      <c r="D329" s="216"/>
      <c r="E329" s="216"/>
      <c r="F329" s="216"/>
      <c r="G329" s="216"/>
      <c r="H329" s="216"/>
      <c r="L329" s="216"/>
      <c r="N329" s="222"/>
    </row>
    <row r="330" spans="1:14" ht="12.75" customHeight="1" x14ac:dyDescent="0.25">
      <c r="A330" s="222"/>
      <c r="B330" s="222"/>
      <c r="C330" s="216"/>
      <c r="D330" s="216"/>
      <c r="E330" s="216"/>
      <c r="F330" s="216"/>
      <c r="G330" s="216"/>
      <c r="H330" s="216"/>
      <c r="L330" s="216"/>
      <c r="N330" s="222"/>
    </row>
    <row r="331" spans="1:14" ht="12.75" customHeight="1" x14ac:dyDescent="0.25">
      <c r="A331" s="222"/>
      <c r="B331" s="222"/>
      <c r="C331" s="216"/>
      <c r="D331" s="216"/>
      <c r="E331" s="216"/>
      <c r="F331" s="216"/>
      <c r="G331" s="216"/>
      <c r="H331" s="216"/>
      <c r="L331" s="216"/>
      <c r="N331" s="222"/>
    </row>
    <row r="332" spans="1:14" ht="12.75" customHeight="1" x14ac:dyDescent="0.25">
      <c r="A332" s="222"/>
      <c r="B332" s="222"/>
      <c r="C332" s="216"/>
      <c r="D332" s="216"/>
      <c r="E332" s="216"/>
      <c r="F332" s="216"/>
      <c r="G332" s="216"/>
      <c r="H332" s="216"/>
      <c r="L332" s="216"/>
      <c r="N332" s="222"/>
    </row>
    <row r="333" spans="1:14" ht="12.75" customHeight="1" x14ac:dyDescent="0.25">
      <c r="A333" s="222"/>
      <c r="B333" s="222"/>
      <c r="C333" s="216"/>
      <c r="D333" s="216"/>
      <c r="E333" s="216"/>
      <c r="F333" s="216"/>
      <c r="G333" s="216"/>
      <c r="H333" s="216"/>
      <c r="L333" s="216"/>
      <c r="N333" s="222"/>
    </row>
    <row r="334" spans="1:14" ht="12.75" customHeight="1" x14ac:dyDescent="0.25">
      <c r="A334" s="222"/>
      <c r="B334" s="222"/>
      <c r="C334" s="216"/>
      <c r="D334" s="216"/>
      <c r="E334" s="216"/>
      <c r="F334" s="216"/>
      <c r="G334" s="216"/>
      <c r="H334" s="216"/>
      <c r="L334" s="216"/>
      <c r="N334" s="222"/>
    </row>
    <row r="335" spans="1:14" ht="12.75" customHeight="1" x14ac:dyDescent="0.25">
      <c r="A335" s="222"/>
      <c r="B335" s="222"/>
      <c r="C335" s="216"/>
      <c r="D335" s="216"/>
      <c r="E335" s="216"/>
      <c r="F335" s="216"/>
      <c r="G335" s="216"/>
      <c r="H335" s="216"/>
      <c r="L335" s="216"/>
      <c r="N335" s="222"/>
    </row>
    <row r="336" spans="1:14" ht="12.75" customHeight="1" x14ac:dyDescent="0.25">
      <c r="A336" s="222"/>
      <c r="B336" s="222"/>
      <c r="C336" s="216"/>
      <c r="D336" s="216"/>
      <c r="E336" s="216"/>
      <c r="F336" s="216"/>
      <c r="G336" s="216"/>
      <c r="H336" s="216"/>
      <c r="L336" s="216"/>
      <c r="N336" s="222"/>
    </row>
    <row r="337" spans="1:14" ht="12.75" customHeight="1" x14ac:dyDescent="0.25">
      <c r="A337" s="222"/>
      <c r="B337" s="222"/>
      <c r="C337" s="216"/>
      <c r="D337" s="216"/>
      <c r="E337" s="216"/>
      <c r="F337" s="216"/>
      <c r="G337" s="216"/>
      <c r="H337" s="216"/>
      <c r="L337" s="216"/>
      <c r="N337" s="222"/>
    </row>
    <row r="338" spans="1:14" ht="12.75" customHeight="1" x14ac:dyDescent="0.25">
      <c r="A338" s="222"/>
      <c r="B338" s="222"/>
      <c r="C338" s="216"/>
      <c r="D338" s="216"/>
      <c r="E338" s="216"/>
      <c r="F338" s="216"/>
      <c r="G338" s="216"/>
      <c r="H338" s="216"/>
      <c r="L338" s="216"/>
      <c r="N338" s="222"/>
    </row>
    <row r="339" spans="1:14" ht="12.75" customHeight="1" x14ac:dyDescent="0.25">
      <c r="A339" s="222"/>
      <c r="B339" s="222"/>
      <c r="C339" s="216"/>
      <c r="D339" s="216"/>
      <c r="E339" s="216"/>
      <c r="F339" s="216"/>
      <c r="G339" s="216"/>
      <c r="H339" s="216"/>
      <c r="L339" s="216"/>
      <c r="N339" s="222"/>
    </row>
    <row r="340" spans="1:14" ht="12.75" customHeight="1" x14ac:dyDescent="0.25">
      <c r="A340" s="222"/>
      <c r="B340" s="222"/>
      <c r="C340" s="216"/>
      <c r="D340" s="216"/>
      <c r="E340" s="216"/>
      <c r="F340" s="216"/>
      <c r="G340" s="216"/>
      <c r="H340" s="216"/>
      <c r="L340" s="216"/>
      <c r="N340" s="222"/>
    </row>
    <row r="341" spans="1:14" ht="12.75" customHeight="1" x14ac:dyDescent="0.25">
      <c r="A341" s="222"/>
      <c r="B341" s="222"/>
      <c r="C341" s="216"/>
      <c r="D341" s="216"/>
      <c r="E341" s="216"/>
      <c r="F341" s="216"/>
      <c r="G341" s="216"/>
      <c r="H341" s="216"/>
      <c r="L341" s="216"/>
      <c r="N341" s="222"/>
    </row>
    <row r="342" spans="1:14" ht="12.75" customHeight="1" x14ac:dyDescent="0.25">
      <c r="A342" s="222"/>
      <c r="B342" s="222"/>
      <c r="C342" s="216"/>
      <c r="D342" s="216"/>
      <c r="E342" s="216"/>
      <c r="F342" s="216"/>
      <c r="G342" s="216"/>
      <c r="H342" s="216"/>
      <c r="L342" s="216"/>
      <c r="N342" s="222"/>
    </row>
    <row r="343" spans="1:14" ht="12.75" customHeight="1" x14ac:dyDescent="0.25">
      <c r="A343" s="222"/>
      <c r="B343" s="222"/>
      <c r="C343" s="216"/>
      <c r="D343" s="216"/>
      <c r="E343" s="216"/>
      <c r="F343" s="216"/>
      <c r="G343" s="216"/>
      <c r="H343" s="216"/>
      <c r="L343" s="216"/>
      <c r="N343" s="222"/>
    </row>
    <row r="344" spans="1:14" ht="12.75" customHeight="1" x14ac:dyDescent="0.25">
      <c r="A344" s="222"/>
      <c r="B344" s="222"/>
      <c r="C344" s="216"/>
      <c r="D344" s="216"/>
      <c r="E344" s="216"/>
      <c r="F344" s="216"/>
      <c r="G344" s="216"/>
      <c r="H344" s="216"/>
      <c r="L344" s="216"/>
      <c r="N344" s="222"/>
    </row>
    <row r="345" spans="1:14" ht="12.75" customHeight="1" x14ac:dyDescent="0.25">
      <c r="A345" s="222"/>
      <c r="B345" s="222"/>
      <c r="C345" s="216"/>
      <c r="D345" s="216"/>
      <c r="E345" s="216"/>
      <c r="F345" s="216"/>
      <c r="G345" s="216"/>
      <c r="H345" s="216"/>
      <c r="L345" s="216"/>
      <c r="N345" s="222"/>
    </row>
    <row r="346" spans="1:14" ht="12.75" customHeight="1" x14ac:dyDescent="0.25">
      <c r="A346" s="222"/>
      <c r="B346" s="222"/>
      <c r="C346" s="216"/>
      <c r="D346" s="216"/>
      <c r="E346" s="216"/>
      <c r="F346" s="216"/>
      <c r="G346" s="216"/>
      <c r="H346" s="216"/>
      <c r="L346" s="216"/>
      <c r="N346" s="222"/>
    </row>
    <row r="347" spans="1:14" ht="12.75" customHeight="1" x14ac:dyDescent="0.25">
      <c r="A347" s="222"/>
      <c r="B347" s="222"/>
      <c r="C347" s="216"/>
      <c r="D347" s="216"/>
      <c r="E347" s="216"/>
      <c r="F347" s="216"/>
      <c r="G347" s="216"/>
      <c r="H347" s="216"/>
      <c r="L347" s="216"/>
      <c r="N347" s="222"/>
    </row>
    <row r="348" spans="1:14" ht="12.75" customHeight="1" x14ac:dyDescent="0.25">
      <c r="A348" s="222"/>
      <c r="B348" s="222"/>
      <c r="C348" s="216"/>
      <c r="D348" s="216"/>
      <c r="E348" s="216"/>
      <c r="F348" s="216"/>
      <c r="G348" s="216"/>
      <c r="H348" s="216"/>
      <c r="L348" s="216"/>
      <c r="N348" s="222"/>
    </row>
    <row r="349" spans="1:14" ht="12.75" customHeight="1" x14ac:dyDescent="0.25">
      <c r="A349" s="222"/>
      <c r="B349" s="222"/>
      <c r="C349" s="216"/>
      <c r="D349" s="216"/>
      <c r="E349" s="216"/>
      <c r="F349" s="216"/>
      <c r="G349" s="216"/>
      <c r="H349" s="216"/>
      <c r="L349" s="216"/>
      <c r="N349" s="222"/>
    </row>
    <row r="350" spans="1:14" ht="12.75" customHeight="1" x14ac:dyDescent="0.25">
      <c r="A350" s="222"/>
      <c r="B350" s="222"/>
      <c r="C350" s="216"/>
      <c r="D350" s="216"/>
      <c r="E350" s="216"/>
      <c r="F350" s="216"/>
      <c r="G350" s="216"/>
      <c r="H350" s="216"/>
      <c r="L350" s="216"/>
      <c r="N350" s="222"/>
    </row>
    <row r="351" spans="1:14" ht="12.75" customHeight="1" x14ac:dyDescent="0.25">
      <c r="A351" s="222"/>
      <c r="B351" s="222"/>
      <c r="C351" s="216"/>
      <c r="D351" s="216"/>
      <c r="E351" s="216"/>
      <c r="F351" s="216"/>
      <c r="G351" s="216"/>
      <c r="H351" s="216"/>
      <c r="L351" s="216"/>
      <c r="N351" s="222"/>
    </row>
    <row r="352" spans="1:14" ht="12.75" customHeight="1" x14ac:dyDescent="0.25">
      <c r="A352" s="222"/>
      <c r="B352" s="222"/>
      <c r="C352" s="216"/>
      <c r="D352" s="216"/>
      <c r="E352" s="216"/>
      <c r="F352" s="216"/>
      <c r="G352" s="216"/>
      <c r="H352" s="216"/>
      <c r="L352" s="216"/>
      <c r="N352" s="222"/>
    </row>
    <row r="353" spans="1:14" ht="12.75" customHeight="1" x14ac:dyDescent="0.25">
      <c r="A353" s="222"/>
      <c r="B353" s="222"/>
      <c r="C353" s="216"/>
      <c r="D353" s="216"/>
      <c r="E353" s="216"/>
      <c r="F353" s="216"/>
      <c r="G353" s="216"/>
      <c r="H353" s="216"/>
      <c r="L353" s="216"/>
      <c r="N353" s="222"/>
    </row>
    <row r="354" spans="1:14" ht="12.75" customHeight="1" x14ac:dyDescent="0.25">
      <c r="A354" s="222"/>
      <c r="B354" s="222"/>
      <c r="C354" s="216"/>
      <c r="D354" s="216"/>
      <c r="E354" s="216"/>
      <c r="F354" s="216"/>
      <c r="G354" s="216"/>
      <c r="H354" s="216"/>
      <c r="L354" s="216"/>
      <c r="N354" s="222"/>
    </row>
    <row r="355" spans="1:14" ht="12.75" customHeight="1" x14ac:dyDescent="0.25">
      <c r="A355" s="222"/>
      <c r="B355" s="222"/>
      <c r="C355" s="216"/>
      <c r="D355" s="216"/>
      <c r="E355" s="216"/>
      <c r="F355" s="216"/>
      <c r="G355" s="216"/>
      <c r="H355" s="216"/>
      <c r="L355" s="216"/>
      <c r="N355" s="222"/>
    </row>
    <row r="356" spans="1:14" ht="12.75" customHeight="1" x14ac:dyDescent="0.25">
      <c r="A356" s="222"/>
      <c r="B356" s="222"/>
      <c r="C356" s="216"/>
      <c r="D356" s="216"/>
      <c r="E356" s="216"/>
      <c r="F356" s="216"/>
      <c r="G356" s="216"/>
      <c r="H356" s="216"/>
      <c r="L356" s="216"/>
      <c r="N356" s="222"/>
    </row>
    <row r="357" spans="1:14" ht="12.75" customHeight="1" x14ac:dyDescent="0.25">
      <c r="A357" s="222"/>
      <c r="B357" s="222"/>
      <c r="C357" s="216"/>
      <c r="D357" s="216"/>
      <c r="E357" s="216"/>
      <c r="F357" s="216"/>
      <c r="G357" s="216"/>
      <c r="H357" s="216"/>
      <c r="L357" s="216"/>
      <c r="N357" s="222"/>
    </row>
    <row r="358" spans="1:14" ht="12.75" customHeight="1" x14ac:dyDescent="0.25">
      <c r="A358" s="222"/>
      <c r="B358" s="222"/>
      <c r="C358" s="216"/>
      <c r="D358" s="216"/>
      <c r="E358" s="216"/>
      <c r="F358" s="216"/>
      <c r="G358" s="216"/>
      <c r="H358" s="216"/>
      <c r="L358" s="216"/>
      <c r="N358" s="222"/>
    </row>
    <row r="359" spans="1:14" ht="12.75" customHeight="1" x14ac:dyDescent="0.25">
      <c r="A359" s="222"/>
      <c r="B359" s="222"/>
      <c r="C359" s="216"/>
      <c r="D359" s="216"/>
      <c r="E359" s="216"/>
      <c r="F359" s="216"/>
      <c r="G359" s="216"/>
      <c r="H359" s="216"/>
      <c r="L359" s="216"/>
      <c r="N359" s="222"/>
    </row>
    <row r="360" spans="1:14" ht="12.75" customHeight="1" x14ac:dyDescent="0.25">
      <c r="A360" s="222"/>
      <c r="B360" s="222"/>
      <c r="C360" s="216"/>
      <c r="D360" s="216"/>
      <c r="E360" s="216"/>
      <c r="F360" s="216"/>
      <c r="G360" s="216"/>
      <c r="H360" s="216"/>
      <c r="L360" s="216"/>
      <c r="N360" s="222"/>
    </row>
    <row r="361" spans="1:14" ht="12.75" customHeight="1" x14ac:dyDescent="0.25">
      <c r="A361" s="222"/>
      <c r="B361" s="222"/>
      <c r="C361" s="216"/>
      <c r="D361" s="216"/>
      <c r="E361" s="216"/>
      <c r="F361" s="216"/>
      <c r="G361" s="216"/>
      <c r="H361" s="216"/>
      <c r="L361" s="216"/>
      <c r="N361" s="222"/>
    </row>
    <row r="362" spans="1:14" ht="12.75" customHeight="1" x14ac:dyDescent="0.25">
      <c r="A362" s="222"/>
      <c r="B362" s="222"/>
      <c r="C362" s="216"/>
      <c r="D362" s="216"/>
      <c r="E362" s="216"/>
      <c r="F362" s="216"/>
      <c r="G362" s="216"/>
      <c r="H362" s="216"/>
      <c r="L362" s="216"/>
      <c r="N362" s="222"/>
    </row>
    <row r="363" spans="1:14" ht="12.75" customHeight="1" x14ac:dyDescent="0.25">
      <c r="A363" s="222"/>
      <c r="B363" s="222"/>
      <c r="C363" s="216"/>
      <c r="D363" s="216"/>
      <c r="E363" s="216"/>
      <c r="F363" s="216"/>
      <c r="G363" s="216"/>
      <c r="H363" s="216"/>
      <c r="L363" s="216"/>
      <c r="N363" s="222"/>
    </row>
    <row r="364" spans="1:14" ht="12.75" customHeight="1" x14ac:dyDescent="0.25">
      <c r="A364" s="222"/>
      <c r="B364" s="222"/>
      <c r="C364" s="216"/>
      <c r="D364" s="216"/>
      <c r="E364" s="216"/>
      <c r="F364" s="216"/>
      <c r="G364" s="216"/>
      <c r="H364" s="216"/>
      <c r="L364" s="216"/>
      <c r="N364" s="222"/>
    </row>
    <row r="365" spans="1:14" ht="12.75" customHeight="1" x14ac:dyDescent="0.25">
      <c r="A365" s="222"/>
      <c r="B365" s="222"/>
      <c r="C365" s="216"/>
      <c r="D365" s="216"/>
      <c r="E365" s="216"/>
      <c r="F365" s="216"/>
      <c r="G365" s="216"/>
      <c r="H365" s="216"/>
      <c r="L365" s="216"/>
      <c r="N365" s="222"/>
    </row>
    <row r="366" spans="1:14" ht="12.75" customHeight="1" x14ac:dyDescent="0.25">
      <c r="A366" s="222"/>
      <c r="B366" s="222"/>
      <c r="C366" s="216"/>
      <c r="D366" s="216"/>
      <c r="E366" s="216"/>
      <c r="F366" s="216"/>
      <c r="G366" s="216"/>
      <c r="H366" s="216"/>
      <c r="L366" s="216"/>
      <c r="N366" s="222"/>
    </row>
    <row r="367" spans="1:14" ht="12.75" customHeight="1" x14ac:dyDescent="0.25">
      <c r="A367" s="222"/>
      <c r="B367" s="222"/>
      <c r="C367" s="216"/>
      <c r="D367" s="216"/>
      <c r="E367" s="216"/>
      <c r="F367" s="216"/>
      <c r="G367" s="216"/>
      <c r="H367" s="216"/>
      <c r="L367" s="216"/>
      <c r="N367" s="222"/>
    </row>
    <row r="368" spans="1:14" ht="12.75" customHeight="1" x14ac:dyDescent="0.25">
      <c r="A368" s="222"/>
      <c r="B368" s="222"/>
      <c r="C368" s="216"/>
      <c r="D368" s="216"/>
      <c r="E368" s="216"/>
      <c r="F368" s="216"/>
      <c r="G368" s="216"/>
      <c r="H368" s="216"/>
      <c r="L368" s="216"/>
      <c r="N368" s="222"/>
    </row>
    <row r="369" spans="1:14" ht="12.75" customHeight="1" x14ac:dyDescent="0.25">
      <c r="A369" s="222"/>
      <c r="B369" s="222"/>
      <c r="C369" s="216"/>
      <c r="D369" s="216"/>
      <c r="E369" s="216"/>
      <c r="F369" s="216"/>
      <c r="G369" s="216"/>
      <c r="H369" s="216"/>
      <c r="L369" s="216"/>
      <c r="N369" s="222"/>
    </row>
    <row r="370" spans="1:14" ht="12.75" customHeight="1" x14ac:dyDescent="0.25">
      <c r="A370" s="222"/>
      <c r="B370" s="222"/>
      <c r="C370" s="216"/>
      <c r="D370" s="216"/>
      <c r="E370" s="216"/>
      <c r="F370" s="216"/>
      <c r="G370" s="216"/>
      <c r="H370" s="216"/>
      <c r="L370" s="216"/>
      <c r="N370" s="222"/>
    </row>
    <row r="371" spans="1:14" ht="12.75" customHeight="1" x14ac:dyDescent="0.25">
      <c r="A371" s="222"/>
      <c r="B371" s="222"/>
      <c r="C371" s="216"/>
      <c r="D371" s="216"/>
      <c r="E371" s="216"/>
      <c r="F371" s="216"/>
      <c r="G371" s="216"/>
      <c r="H371" s="216"/>
      <c r="L371" s="216"/>
      <c r="N371" s="222"/>
    </row>
    <row r="372" spans="1:14" ht="12.75" customHeight="1" x14ac:dyDescent="0.25">
      <c r="A372" s="222"/>
      <c r="B372" s="222"/>
      <c r="C372" s="216"/>
      <c r="D372" s="216"/>
      <c r="E372" s="216"/>
      <c r="F372" s="216"/>
      <c r="G372" s="216"/>
      <c r="H372" s="216"/>
      <c r="L372" s="216"/>
      <c r="N372" s="222"/>
    </row>
    <row r="373" spans="1:14" ht="12.75" customHeight="1" x14ac:dyDescent="0.25">
      <c r="A373" s="222"/>
      <c r="B373" s="222"/>
      <c r="C373" s="216"/>
      <c r="D373" s="216"/>
      <c r="E373" s="216"/>
      <c r="F373" s="216"/>
      <c r="G373" s="216"/>
      <c r="H373" s="216"/>
      <c r="L373" s="216"/>
      <c r="N373" s="222"/>
    </row>
    <row r="374" spans="1:14" ht="12.75" customHeight="1" x14ac:dyDescent="0.25">
      <c r="A374" s="222"/>
      <c r="B374" s="222"/>
      <c r="C374" s="216"/>
      <c r="D374" s="216"/>
      <c r="E374" s="216"/>
      <c r="F374" s="216"/>
      <c r="G374" s="216"/>
      <c r="H374" s="216"/>
      <c r="L374" s="216"/>
      <c r="N374" s="222"/>
    </row>
    <row r="375" spans="1:14" ht="12.75" customHeight="1" x14ac:dyDescent="0.25">
      <c r="A375" s="222"/>
      <c r="B375" s="222"/>
      <c r="C375" s="216"/>
      <c r="D375" s="216"/>
      <c r="E375" s="216"/>
      <c r="F375" s="216"/>
      <c r="G375" s="216"/>
      <c r="H375" s="216"/>
      <c r="L375" s="216"/>
      <c r="N375" s="222"/>
    </row>
    <row r="376" spans="1:14" ht="12.75" customHeight="1" x14ac:dyDescent="0.25">
      <c r="A376" s="222"/>
      <c r="B376" s="222"/>
      <c r="C376" s="216"/>
      <c r="D376" s="216"/>
      <c r="E376" s="216"/>
      <c r="F376" s="216"/>
      <c r="G376" s="216"/>
      <c r="H376" s="216"/>
      <c r="L376" s="216"/>
      <c r="N376" s="222"/>
    </row>
    <row r="377" spans="1:14" ht="12.75" customHeight="1" x14ac:dyDescent="0.25">
      <c r="A377" s="222"/>
      <c r="B377" s="222"/>
      <c r="C377" s="216"/>
      <c r="D377" s="216"/>
      <c r="E377" s="216"/>
      <c r="F377" s="216"/>
      <c r="G377" s="216"/>
      <c r="H377" s="216"/>
      <c r="L377" s="216"/>
      <c r="N377" s="222"/>
    </row>
    <row r="378" spans="1:14" ht="12.75" customHeight="1" x14ac:dyDescent="0.25">
      <c r="A378" s="222"/>
      <c r="B378" s="222"/>
      <c r="C378" s="216"/>
      <c r="D378" s="216"/>
      <c r="E378" s="216"/>
      <c r="F378" s="216"/>
      <c r="G378" s="216"/>
      <c r="H378" s="216"/>
      <c r="L378" s="216"/>
      <c r="N378" s="222"/>
    </row>
    <row r="379" spans="1:14" ht="12.75" customHeight="1" x14ac:dyDescent="0.25">
      <c r="A379" s="222"/>
      <c r="B379" s="222"/>
      <c r="C379" s="216"/>
      <c r="D379" s="216"/>
      <c r="E379" s="216"/>
      <c r="F379" s="216"/>
      <c r="G379" s="216"/>
      <c r="H379" s="216"/>
      <c r="L379" s="216"/>
      <c r="N379" s="222"/>
    </row>
    <row r="380" spans="1:14" ht="12.75" customHeight="1" x14ac:dyDescent="0.25">
      <c r="A380" s="222"/>
      <c r="B380" s="222"/>
      <c r="C380" s="216"/>
      <c r="D380" s="216"/>
      <c r="E380" s="216"/>
      <c r="F380" s="216"/>
      <c r="G380" s="216"/>
      <c r="H380" s="216"/>
      <c r="L380" s="216"/>
      <c r="N380" s="222"/>
    </row>
    <row r="381" spans="1:14" ht="12.75" customHeight="1" x14ac:dyDescent="0.25">
      <c r="A381" s="222"/>
      <c r="B381" s="222"/>
      <c r="C381" s="216"/>
      <c r="D381" s="216"/>
      <c r="E381" s="216"/>
      <c r="F381" s="216"/>
      <c r="G381" s="216"/>
      <c r="H381" s="216"/>
      <c r="L381" s="216"/>
      <c r="N381" s="222"/>
    </row>
    <row r="382" spans="1:14" ht="12.75" customHeight="1" x14ac:dyDescent="0.25">
      <c r="A382" s="222"/>
      <c r="B382" s="222"/>
      <c r="C382" s="216"/>
      <c r="D382" s="216"/>
      <c r="E382" s="216"/>
      <c r="F382" s="216"/>
      <c r="G382" s="216"/>
      <c r="H382" s="216"/>
      <c r="L382" s="216"/>
      <c r="N382" s="222"/>
    </row>
    <row r="383" spans="1:14" ht="12.75" customHeight="1" x14ac:dyDescent="0.25">
      <c r="A383" s="222"/>
      <c r="B383" s="222"/>
      <c r="C383" s="216"/>
      <c r="D383" s="216"/>
      <c r="E383" s="216"/>
      <c r="F383" s="216"/>
      <c r="G383" s="216"/>
      <c r="H383" s="216"/>
      <c r="L383" s="216"/>
      <c r="N383" s="222"/>
    </row>
    <row r="384" spans="1:14" ht="12.75" customHeight="1" x14ac:dyDescent="0.25">
      <c r="A384" s="222"/>
      <c r="B384" s="222"/>
      <c r="C384" s="216"/>
      <c r="D384" s="216"/>
      <c r="E384" s="216"/>
      <c r="F384" s="216"/>
      <c r="G384" s="216"/>
      <c r="H384" s="216"/>
      <c r="L384" s="216"/>
      <c r="N384" s="222"/>
    </row>
    <row r="385" spans="1:14" ht="12.75" customHeight="1" x14ac:dyDescent="0.25">
      <c r="A385" s="222"/>
      <c r="B385" s="222"/>
      <c r="C385" s="216"/>
      <c r="D385" s="216"/>
      <c r="E385" s="216"/>
      <c r="F385" s="216"/>
      <c r="G385" s="216"/>
      <c r="H385" s="216"/>
      <c r="L385" s="216"/>
      <c r="N385" s="222"/>
    </row>
    <row r="386" spans="1:14" ht="12.75" customHeight="1" x14ac:dyDescent="0.25">
      <c r="A386" s="222"/>
      <c r="B386" s="222"/>
      <c r="C386" s="216"/>
      <c r="D386" s="216"/>
      <c r="E386" s="216"/>
      <c r="F386" s="216"/>
      <c r="G386" s="216"/>
      <c r="H386" s="216"/>
      <c r="L386" s="216"/>
      <c r="N386" s="222"/>
    </row>
    <row r="387" spans="1:14" ht="12.75" customHeight="1" x14ac:dyDescent="0.25">
      <c r="A387" s="222"/>
      <c r="B387" s="222"/>
      <c r="C387" s="216"/>
      <c r="D387" s="216"/>
      <c r="E387" s="216"/>
      <c r="F387" s="216"/>
      <c r="G387" s="216"/>
      <c r="H387" s="216"/>
      <c r="L387" s="216"/>
      <c r="N387" s="222"/>
    </row>
    <row r="388" spans="1:14" ht="12.75" customHeight="1" x14ac:dyDescent="0.25">
      <c r="A388" s="222"/>
      <c r="B388" s="222"/>
      <c r="C388" s="216"/>
      <c r="D388" s="216"/>
      <c r="E388" s="216"/>
      <c r="F388" s="216"/>
      <c r="G388" s="216"/>
      <c r="H388" s="216"/>
      <c r="L388" s="216"/>
      <c r="N388" s="222"/>
    </row>
    <row r="389" spans="1:14" ht="12.75" customHeight="1" x14ac:dyDescent="0.25">
      <c r="A389" s="222"/>
      <c r="B389" s="222"/>
      <c r="C389" s="216"/>
      <c r="D389" s="216"/>
      <c r="E389" s="216"/>
      <c r="F389" s="216"/>
      <c r="G389" s="216"/>
      <c r="H389" s="216"/>
      <c r="L389" s="216"/>
      <c r="N389" s="222"/>
    </row>
    <row r="390" spans="1:14" ht="12.75" customHeight="1" x14ac:dyDescent="0.25">
      <c r="A390" s="222"/>
      <c r="B390" s="222"/>
      <c r="C390" s="216"/>
      <c r="D390" s="216"/>
      <c r="E390" s="216"/>
      <c r="F390" s="216"/>
      <c r="G390" s="216"/>
      <c r="H390" s="216"/>
      <c r="L390" s="216"/>
      <c r="N390" s="222"/>
    </row>
    <row r="391" spans="1:14" ht="12.75" customHeight="1" x14ac:dyDescent="0.25">
      <c r="A391" s="222"/>
      <c r="B391" s="222"/>
      <c r="C391" s="216"/>
      <c r="D391" s="216"/>
      <c r="E391" s="216"/>
      <c r="F391" s="216"/>
      <c r="G391" s="216"/>
      <c r="H391" s="216"/>
      <c r="L391" s="216"/>
      <c r="N391" s="222"/>
    </row>
    <row r="392" spans="1:14" ht="12.75" customHeight="1" x14ac:dyDescent="0.25">
      <c r="A392" s="222"/>
      <c r="B392" s="222"/>
      <c r="C392" s="216"/>
      <c r="D392" s="216"/>
      <c r="E392" s="216"/>
      <c r="F392" s="216"/>
      <c r="G392" s="216"/>
      <c r="H392" s="216"/>
      <c r="L392" s="216"/>
      <c r="N392" s="222"/>
    </row>
    <row r="393" spans="1:14" ht="12.75" customHeight="1" x14ac:dyDescent="0.25">
      <c r="A393" s="222"/>
      <c r="B393" s="222"/>
      <c r="C393" s="216"/>
      <c r="D393" s="216"/>
      <c r="E393" s="216"/>
      <c r="F393" s="216"/>
      <c r="G393" s="216"/>
      <c r="H393" s="216"/>
      <c r="L393" s="216"/>
      <c r="N393" s="222"/>
    </row>
    <row r="394" spans="1:14" ht="12.75" customHeight="1" x14ac:dyDescent="0.25">
      <c r="A394" s="222"/>
      <c r="B394" s="222"/>
      <c r="C394" s="216"/>
      <c r="D394" s="216"/>
      <c r="E394" s="216"/>
      <c r="F394" s="216"/>
      <c r="G394" s="216"/>
      <c r="H394" s="216"/>
      <c r="L394" s="216"/>
      <c r="N394" s="222"/>
    </row>
    <row r="395" spans="1:14" ht="12.75" customHeight="1" x14ac:dyDescent="0.25">
      <c r="A395" s="222"/>
      <c r="B395" s="222"/>
      <c r="C395" s="216"/>
      <c r="D395" s="216"/>
      <c r="E395" s="216"/>
      <c r="F395" s="216"/>
      <c r="G395" s="216"/>
      <c r="H395" s="216"/>
      <c r="L395" s="216"/>
      <c r="N395" s="222"/>
    </row>
    <row r="396" spans="1:14" ht="12.75" customHeight="1" x14ac:dyDescent="0.25">
      <c r="A396" s="222"/>
      <c r="B396" s="222"/>
      <c r="C396" s="216"/>
      <c r="D396" s="216"/>
      <c r="E396" s="216"/>
      <c r="F396" s="216"/>
      <c r="G396" s="216"/>
      <c r="H396" s="216"/>
      <c r="L396" s="216"/>
      <c r="N396" s="222"/>
    </row>
    <row r="397" spans="1:14" ht="12.75" customHeight="1" x14ac:dyDescent="0.25">
      <c r="A397" s="222"/>
      <c r="B397" s="222"/>
      <c r="C397" s="216"/>
      <c r="D397" s="216"/>
      <c r="E397" s="216"/>
      <c r="F397" s="216"/>
      <c r="G397" s="216"/>
      <c r="H397" s="216"/>
      <c r="L397" s="216"/>
      <c r="N397" s="222"/>
    </row>
    <row r="398" spans="1:14" ht="12.75" customHeight="1" x14ac:dyDescent="0.25">
      <c r="A398" s="222"/>
      <c r="B398" s="222"/>
      <c r="C398" s="216"/>
      <c r="D398" s="216"/>
      <c r="E398" s="216"/>
      <c r="F398" s="216"/>
      <c r="G398" s="216"/>
      <c r="H398" s="216"/>
      <c r="L398" s="216"/>
      <c r="N398" s="222"/>
    </row>
    <row r="399" spans="1:14" ht="12.75" customHeight="1" x14ac:dyDescent="0.25">
      <c r="A399" s="222"/>
      <c r="B399" s="222"/>
      <c r="C399" s="216"/>
      <c r="D399" s="216"/>
      <c r="E399" s="216"/>
      <c r="F399" s="216"/>
      <c r="G399" s="216"/>
      <c r="H399" s="216"/>
      <c r="L399" s="216"/>
      <c r="N399" s="222"/>
    </row>
    <row r="400" spans="1:14" ht="12.75" customHeight="1" x14ac:dyDescent="0.25">
      <c r="A400" s="222"/>
      <c r="B400" s="222"/>
      <c r="C400" s="216"/>
      <c r="D400" s="216"/>
      <c r="E400" s="216"/>
      <c r="F400" s="216"/>
      <c r="G400" s="216"/>
      <c r="H400" s="216"/>
      <c r="L400" s="216"/>
      <c r="N400" s="222"/>
    </row>
    <row r="401" spans="1:14" ht="12.75" customHeight="1" x14ac:dyDescent="0.25">
      <c r="A401" s="222"/>
      <c r="B401" s="222"/>
      <c r="C401" s="216"/>
      <c r="D401" s="216"/>
      <c r="E401" s="216"/>
      <c r="F401" s="216"/>
      <c r="G401" s="216"/>
      <c r="H401" s="216"/>
      <c r="L401" s="216"/>
      <c r="N401" s="222"/>
    </row>
    <row r="402" spans="1:14" ht="12.75" customHeight="1" x14ac:dyDescent="0.25">
      <c r="A402" s="222"/>
      <c r="B402" s="222"/>
      <c r="C402" s="216"/>
      <c r="D402" s="216"/>
      <c r="E402" s="216"/>
      <c r="F402" s="216"/>
      <c r="G402" s="216"/>
      <c r="H402" s="216"/>
      <c r="L402" s="216"/>
      <c r="N402" s="222"/>
    </row>
    <row r="403" spans="1:14" ht="12.75" customHeight="1" x14ac:dyDescent="0.25">
      <c r="A403" s="222"/>
      <c r="B403" s="222"/>
      <c r="C403" s="216"/>
      <c r="D403" s="216"/>
      <c r="E403" s="216"/>
      <c r="F403" s="216"/>
      <c r="G403" s="216"/>
      <c r="H403" s="216"/>
      <c r="L403" s="216"/>
      <c r="N403" s="222"/>
    </row>
    <row r="404" spans="1:14" ht="12.75" customHeight="1" x14ac:dyDescent="0.25">
      <c r="A404" s="222"/>
      <c r="B404" s="222"/>
      <c r="C404" s="216"/>
      <c r="D404" s="216"/>
      <c r="E404" s="216"/>
      <c r="F404" s="216"/>
      <c r="G404" s="216"/>
      <c r="H404" s="216"/>
      <c r="L404" s="216"/>
      <c r="N404" s="222"/>
    </row>
    <row r="405" spans="1:14" ht="12.75" customHeight="1" x14ac:dyDescent="0.25">
      <c r="A405" s="222"/>
      <c r="B405" s="222"/>
      <c r="C405" s="216"/>
      <c r="D405" s="216"/>
      <c r="E405" s="216"/>
      <c r="F405" s="216"/>
      <c r="G405" s="216"/>
      <c r="H405" s="216"/>
      <c r="L405" s="216"/>
      <c r="N405" s="222"/>
    </row>
    <row r="406" spans="1:14" ht="12.75" customHeight="1" x14ac:dyDescent="0.25">
      <c r="A406" s="222"/>
      <c r="B406" s="222"/>
      <c r="C406" s="216"/>
      <c r="D406" s="216"/>
      <c r="E406" s="216"/>
      <c r="F406" s="216"/>
      <c r="G406" s="216"/>
      <c r="H406" s="216"/>
      <c r="L406" s="216"/>
      <c r="N406" s="222"/>
    </row>
    <row r="407" spans="1:14" ht="12.75" customHeight="1" x14ac:dyDescent="0.25">
      <c r="A407" s="222"/>
      <c r="B407" s="222"/>
      <c r="C407" s="216"/>
      <c r="D407" s="216"/>
      <c r="E407" s="216"/>
      <c r="F407" s="216"/>
      <c r="G407" s="216"/>
      <c r="H407" s="216"/>
      <c r="L407" s="216"/>
      <c r="N407" s="222"/>
    </row>
    <row r="408" spans="1:14" ht="12.75" customHeight="1" x14ac:dyDescent="0.25">
      <c r="A408" s="222"/>
      <c r="B408" s="222"/>
      <c r="C408" s="216"/>
      <c r="D408" s="216"/>
      <c r="E408" s="216"/>
      <c r="F408" s="216"/>
      <c r="G408" s="216"/>
      <c r="H408" s="216"/>
      <c r="L408" s="216"/>
      <c r="N408" s="222"/>
    </row>
    <row r="409" spans="1:14" ht="12.75" customHeight="1" x14ac:dyDescent="0.25">
      <c r="A409" s="222"/>
      <c r="B409" s="222"/>
      <c r="C409" s="216"/>
      <c r="D409" s="216"/>
      <c r="E409" s="216"/>
      <c r="F409" s="216"/>
      <c r="G409" s="216"/>
      <c r="H409" s="216"/>
      <c r="L409" s="216"/>
      <c r="N409" s="222"/>
    </row>
    <row r="410" spans="1:14" ht="12.75" customHeight="1" x14ac:dyDescent="0.25">
      <c r="A410" s="222"/>
      <c r="B410" s="222"/>
      <c r="C410" s="216"/>
      <c r="D410" s="216"/>
      <c r="E410" s="216"/>
      <c r="F410" s="216"/>
      <c r="G410" s="216"/>
      <c r="H410" s="216"/>
      <c r="L410" s="216"/>
      <c r="N410" s="222"/>
    </row>
    <row r="411" spans="1:14" ht="12.75" customHeight="1" x14ac:dyDescent="0.25">
      <c r="A411" s="222"/>
      <c r="B411" s="222"/>
      <c r="C411" s="216"/>
      <c r="D411" s="216"/>
      <c r="E411" s="216"/>
      <c r="F411" s="216"/>
      <c r="G411" s="216"/>
      <c r="H411" s="216"/>
      <c r="L411" s="216"/>
      <c r="N411" s="222"/>
    </row>
    <row r="412" spans="1:14" ht="12.75" customHeight="1" x14ac:dyDescent="0.25">
      <c r="A412" s="222"/>
      <c r="B412" s="222"/>
      <c r="C412" s="216"/>
      <c r="D412" s="216"/>
      <c r="E412" s="216"/>
      <c r="F412" s="216"/>
      <c r="G412" s="216"/>
      <c r="H412" s="216"/>
      <c r="L412" s="216"/>
      <c r="N412" s="222"/>
    </row>
    <row r="413" spans="1:14" ht="12.75" customHeight="1" x14ac:dyDescent="0.25">
      <c r="A413" s="222"/>
      <c r="B413" s="222"/>
      <c r="C413" s="216"/>
      <c r="D413" s="216"/>
      <c r="E413" s="216"/>
      <c r="F413" s="216"/>
      <c r="G413" s="216"/>
      <c r="H413" s="216"/>
      <c r="L413" s="216"/>
      <c r="N413" s="222"/>
    </row>
    <row r="414" spans="1:14" ht="12.75" customHeight="1" x14ac:dyDescent="0.25">
      <c r="A414" s="222"/>
      <c r="B414" s="222"/>
      <c r="C414" s="216"/>
      <c r="D414" s="216"/>
      <c r="E414" s="216"/>
      <c r="F414" s="216"/>
      <c r="G414" s="216"/>
      <c r="H414" s="216"/>
      <c r="L414" s="216"/>
      <c r="N414" s="222"/>
    </row>
    <row r="415" spans="1:14" ht="12.75" customHeight="1" x14ac:dyDescent="0.25">
      <c r="A415" s="222"/>
      <c r="B415" s="222"/>
      <c r="C415" s="216"/>
      <c r="D415" s="216"/>
      <c r="E415" s="216"/>
      <c r="F415" s="216"/>
      <c r="G415" s="216"/>
      <c r="H415" s="216"/>
      <c r="L415" s="216"/>
      <c r="N415" s="222"/>
    </row>
    <row r="416" spans="1:14" ht="12.75" customHeight="1" x14ac:dyDescent="0.25">
      <c r="A416" s="222"/>
      <c r="B416" s="222"/>
      <c r="C416" s="216"/>
      <c r="D416" s="216"/>
      <c r="E416" s="216"/>
      <c r="F416" s="216"/>
      <c r="G416" s="216"/>
      <c r="H416" s="216"/>
      <c r="L416" s="216"/>
      <c r="N416" s="222"/>
    </row>
    <row r="417" spans="1:14" ht="12.75" customHeight="1" x14ac:dyDescent="0.25">
      <c r="A417" s="222"/>
      <c r="B417" s="222"/>
      <c r="C417" s="216"/>
      <c r="D417" s="216"/>
      <c r="E417" s="216"/>
      <c r="F417" s="216"/>
      <c r="G417" s="216"/>
      <c r="H417" s="216"/>
      <c r="L417" s="216"/>
      <c r="N417" s="222"/>
    </row>
    <row r="418" spans="1:14" ht="12.75" customHeight="1" x14ac:dyDescent="0.25">
      <c r="A418" s="222"/>
      <c r="B418" s="222"/>
      <c r="C418" s="216"/>
      <c r="D418" s="216"/>
      <c r="E418" s="216"/>
      <c r="F418" s="216"/>
      <c r="G418" s="216"/>
      <c r="H418" s="216"/>
      <c r="L418" s="216"/>
      <c r="N418" s="222"/>
    </row>
    <row r="419" spans="1:14" ht="12.75" customHeight="1" x14ac:dyDescent="0.25">
      <c r="A419" s="222"/>
      <c r="B419" s="222"/>
      <c r="C419" s="216"/>
      <c r="D419" s="216"/>
      <c r="E419" s="216"/>
      <c r="F419" s="216"/>
      <c r="G419" s="216"/>
      <c r="H419" s="216"/>
      <c r="L419" s="216"/>
      <c r="N419" s="222"/>
    </row>
    <row r="420" spans="1:14" ht="12.75" customHeight="1" x14ac:dyDescent="0.25">
      <c r="A420" s="222"/>
      <c r="B420" s="222"/>
      <c r="C420" s="216"/>
      <c r="D420" s="216"/>
      <c r="E420" s="216"/>
      <c r="F420" s="216"/>
      <c r="G420" s="216"/>
      <c r="H420" s="216"/>
      <c r="L420" s="216"/>
      <c r="N420" s="222"/>
    </row>
    <row r="421" spans="1:14" ht="12.75" customHeight="1" x14ac:dyDescent="0.25">
      <c r="A421" s="222"/>
      <c r="B421" s="222"/>
      <c r="C421" s="216"/>
      <c r="D421" s="216"/>
      <c r="E421" s="216"/>
      <c r="F421" s="216"/>
      <c r="G421" s="216"/>
      <c r="H421" s="216"/>
      <c r="L421" s="216"/>
      <c r="N421" s="222"/>
    </row>
    <row r="422" spans="1:14" ht="12.75" customHeight="1" x14ac:dyDescent="0.25">
      <c r="A422" s="222"/>
      <c r="B422" s="222"/>
      <c r="C422" s="216"/>
      <c r="D422" s="216"/>
      <c r="E422" s="216"/>
      <c r="F422" s="216"/>
      <c r="G422" s="216"/>
      <c r="H422" s="216"/>
      <c r="L422" s="216"/>
      <c r="N422" s="222"/>
    </row>
    <row r="423" spans="1:14" ht="12.75" customHeight="1" x14ac:dyDescent="0.25">
      <c r="A423" s="222"/>
      <c r="B423" s="222"/>
      <c r="C423" s="216"/>
      <c r="D423" s="216"/>
      <c r="E423" s="216"/>
      <c r="F423" s="216"/>
      <c r="G423" s="216"/>
      <c r="H423" s="216"/>
      <c r="L423" s="216"/>
      <c r="N423" s="222"/>
    </row>
    <row r="424" spans="1:14" ht="12.75" customHeight="1" x14ac:dyDescent="0.25">
      <c r="A424" s="222"/>
      <c r="B424" s="222"/>
      <c r="C424" s="216"/>
      <c r="D424" s="216"/>
      <c r="E424" s="216"/>
      <c r="F424" s="216"/>
      <c r="G424" s="216"/>
      <c r="H424" s="216"/>
      <c r="L424" s="216"/>
      <c r="N424" s="222"/>
    </row>
    <row r="425" spans="1:14" ht="12.75" customHeight="1" x14ac:dyDescent="0.25">
      <c r="A425" s="222"/>
      <c r="B425" s="222"/>
      <c r="C425" s="216"/>
      <c r="D425" s="216"/>
      <c r="E425" s="216"/>
      <c r="F425" s="216"/>
      <c r="G425" s="216"/>
      <c r="H425" s="216"/>
      <c r="L425" s="216"/>
      <c r="N425" s="222"/>
    </row>
    <row r="426" spans="1:14" ht="12.75" customHeight="1" x14ac:dyDescent="0.25">
      <c r="A426" s="222"/>
      <c r="B426" s="222"/>
      <c r="C426" s="216"/>
      <c r="D426" s="216"/>
      <c r="E426" s="216"/>
      <c r="F426" s="216"/>
      <c r="G426" s="216"/>
      <c r="H426" s="216"/>
      <c r="L426" s="216"/>
      <c r="N426" s="222"/>
    </row>
    <row r="427" spans="1:14" ht="12.75" customHeight="1" x14ac:dyDescent="0.25">
      <c r="A427" s="222"/>
      <c r="B427" s="222"/>
      <c r="C427" s="216"/>
      <c r="D427" s="216"/>
      <c r="E427" s="216"/>
      <c r="F427" s="216"/>
      <c r="G427" s="216"/>
      <c r="H427" s="216"/>
      <c r="L427" s="216"/>
      <c r="N427" s="222"/>
    </row>
    <row r="428" spans="1:14" ht="12.75" customHeight="1" x14ac:dyDescent="0.25">
      <c r="A428" s="222"/>
      <c r="B428" s="222"/>
      <c r="C428" s="216"/>
      <c r="D428" s="216"/>
      <c r="E428" s="216"/>
      <c r="F428" s="216"/>
      <c r="G428" s="216"/>
      <c r="H428" s="216"/>
      <c r="L428" s="216"/>
      <c r="N428" s="222"/>
    </row>
    <row r="429" spans="1:14" ht="12.75" customHeight="1" x14ac:dyDescent="0.25">
      <c r="A429" s="222"/>
      <c r="B429" s="222"/>
      <c r="C429" s="216"/>
      <c r="D429" s="216"/>
      <c r="E429" s="216"/>
      <c r="F429" s="216"/>
      <c r="G429" s="216"/>
      <c r="H429" s="216"/>
      <c r="L429" s="216"/>
      <c r="N429" s="222"/>
    </row>
    <row r="430" spans="1:14" ht="12.75" customHeight="1" x14ac:dyDescent="0.25">
      <c r="A430" s="222"/>
      <c r="B430" s="222"/>
      <c r="C430" s="216"/>
      <c r="D430" s="216"/>
      <c r="E430" s="216"/>
      <c r="F430" s="216"/>
      <c r="G430" s="216"/>
      <c r="H430" s="216"/>
      <c r="L430" s="216"/>
      <c r="N430" s="222"/>
    </row>
    <row r="431" spans="1:14" ht="12.75" customHeight="1" x14ac:dyDescent="0.25">
      <c r="A431" s="222"/>
      <c r="B431" s="222"/>
      <c r="C431" s="216"/>
      <c r="D431" s="216"/>
      <c r="E431" s="216"/>
      <c r="F431" s="216"/>
      <c r="G431" s="216"/>
      <c r="H431" s="216"/>
      <c r="L431" s="216"/>
      <c r="N431" s="222"/>
    </row>
    <row r="432" spans="1:14" ht="12.75" customHeight="1" x14ac:dyDescent="0.25">
      <c r="A432" s="222"/>
      <c r="B432" s="222"/>
      <c r="C432" s="216"/>
      <c r="D432" s="216"/>
      <c r="E432" s="216"/>
      <c r="F432" s="216"/>
      <c r="G432" s="216"/>
      <c r="H432" s="216"/>
      <c r="L432" s="216"/>
      <c r="N432" s="222"/>
    </row>
    <row r="433" spans="1:14" ht="12.75" customHeight="1" x14ac:dyDescent="0.25">
      <c r="A433" s="222"/>
      <c r="B433" s="222"/>
      <c r="C433" s="216"/>
      <c r="D433" s="216"/>
      <c r="E433" s="216"/>
      <c r="F433" s="216"/>
      <c r="G433" s="216"/>
      <c r="H433" s="216"/>
      <c r="L433" s="216"/>
      <c r="N433" s="222"/>
    </row>
    <row r="434" spans="1:14" ht="12.75" customHeight="1" x14ac:dyDescent="0.25">
      <c r="A434" s="222"/>
      <c r="B434" s="222"/>
      <c r="C434" s="216"/>
      <c r="D434" s="216"/>
      <c r="E434" s="216"/>
      <c r="F434" s="216"/>
      <c r="G434" s="216"/>
      <c r="H434" s="216"/>
      <c r="L434" s="216"/>
      <c r="N434" s="222"/>
    </row>
    <row r="435" spans="1:14" ht="12.75" customHeight="1" x14ac:dyDescent="0.25">
      <c r="A435" s="222"/>
      <c r="B435" s="222"/>
      <c r="C435" s="216"/>
      <c r="D435" s="216"/>
      <c r="E435" s="216"/>
      <c r="F435" s="216"/>
      <c r="G435" s="216"/>
      <c r="H435" s="216"/>
      <c r="L435" s="216"/>
      <c r="N435" s="222"/>
    </row>
    <row r="436" spans="1:14" ht="12.75" customHeight="1" x14ac:dyDescent="0.25">
      <c r="A436" s="222"/>
      <c r="B436" s="222"/>
      <c r="C436" s="216"/>
      <c r="D436" s="216"/>
      <c r="E436" s="216"/>
      <c r="F436" s="216"/>
      <c r="G436" s="216"/>
      <c r="H436" s="216"/>
      <c r="L436" s="216"/>
      <c r="N436" s="222"/>
    </row>
    <row r="437" spans="1:14" ht="12.75" customHeight="1" x14ac:dyDescent="0.25">
      <c r="A437" s="222"/>
      <c r="B437" s="222"/>
      <c r="C437" s="216"/>
      <c r="D437" s="216"/>
      <c r="E437" s="216"/>
      <c r="F437" s="216"/>
      <c r="G437" s="216"/>
      <c r="H437" s="216"/>
      <c r="L437" s="216"/>
      <c r="N437" s="222"/>
    </row>
    <row r="438" spans="1:14" ht="12.75" customHeight="1" x14ac:dyDescent="0.25">
      <c r="A438" s="222"/>
      <c r="B438" s="222"/>
      <c r="C438" s="216"/>
      <c r="D438" s="216"/>
      <c r="E438" s="216"/>
      <c r="F438" s="216"/>
      <c r="G438" s="216"/>
      <c r="H438" s="216"/>
      <c r="L438" s="216"/>
      <c r="N438" s="222"/>
    </row>
    <row r="439" spans="1:14" ht="12.75" customHeight="1" x14ac:dyDescent="0.25">
      <c r="A439" s="222"/>
      <c r="B439" s="222"/>
      <c r="C439" s="216"/>
      <c r="D439" s="216"/>
      <c r="E439" s="216"/>
      <c r="F439" s="216"/>
      <c r="G439" s="216"/>
      <c r="H439" s="216"/>
      <c r="L439" s="216"/>
      <c r="N439" s="222"/>
    </row>
    <row r="440" spans="1:14" ht="12.75" customHeight="1" x14ac:dyDescent="0.25">
      <c r="A440" s="222"/>
      <c r="B440" s="222"/>
      <c r="C440" s="216"/>
      <c r="D440" s="216"/>
      <c r="E440" s="216"/>
      <c r="F440" s="216"/>
      <c r="G440" s="216"/>
      <c r="H440" s="216"/>
      <c r="L440" s="216"/>
      <c r="N440" s="222"/>
    </row>
    <row r="441" spans="1:14" ht="12.75" customHeight="1" x14ac:dyDescent="0.25">
      <c r="A441" s="222"/>
      <c r="B441" s="222"/>
      <c r="C441" s="216"/>
      <c r="D441" s="216"/>
      <c r="E441" s="216"/>
      <c r="F441" s="216"/>
      <c r="G441" s="216"/>
      <c r="H441" s="216"/>
      <c r="L441" s="216"/>
      <c r="N441" s="222"/>
    </row>
    <row r="442" spans="1:14" ht="12.75" customHeight="1" x14ac:dyDescent="0.25">
      <c r="A442" s="222"/>
      <c r="B442" s="222"/>
      <c r="C442" s="216"/>
      <c r="D442" s="216"/>
      <c r="E442" s="216"/>
      <c r="F442" s="216"/>
      <c r="G442" s="216"/>
      <c r="H442" s="216"/>
      <c r="L442" s="216"/>
      <c r="N442" s="222"/>
    </row>
    <row r="443" spans="1:14" ht="12.75" customHeight="1" x14ac:dyDescent="0.25">
      <c r="A443" s="222"/>
      <c r="B443" s="222"/>
      <c r="C443" s="216"/>
      <c r="D443" s="216"/>
      <c r="E443" s="216"/>
      <c r="F443" s="216"/>
      <c r="G443" s="216"/>
      <c r="H443" s="216"/>
      <c r="L443" s="216"/>
      <c r="N443" s="222"/>
    </row>
    <row r="444" spans="1:14" ht="12.75" customHeight="1" x14ac:dyDescent="0.25">
      <c r="A444" s="222"/>
      <c r="B444" s="222"/>
      <c r="C444" s="216"/>
      <c r="D444" s="216"/>
      <c r="E444" s="216"/>
      <c r="F444" s="216"/>
      <c r="G444" s="216"/>
      <c r="H444" s="216"/>
      <c r="L444" s="216"/>
      <c r="N444" s="222"/>
    </row>
    <row r="445" spans="1:14" ht="12.75" customHeight="1" x14ac:dyDescent="0.25">
      <c r="A445" s="222"/>
      <c r="B445" s="222"/>
      <c r="C445" s="216"/>
      <c r="D445" s="216"/>
      <c r="E445" s="216"/>
      <c r="F445" s="216"/>
      <c r="G445" s="216"/>
      <c r="H445" s="216"/>
      <c r="L445" s="216"/>
      <c r="N445" s="222"/>
    </row>
    <row r="446" spans="1:14" ht="12.75" customHeight="1" x14ac:dyDescent="0.25">
      <c r="A446" s="222"/>
      <c r="B446" s="222"/>
      <c r="C446" s="216"/>
      <c r="D446" s="216"/>
      <c r="E446" s="216"/>
      <c r="F446" s="216"/>
      <c r="G446" s="216"/>
      <c r="H446" s="216"/>
      <c r="L446" s="216"/>
      <c r="N446" s="222"/>
    </row>
    <row r="447" spans="1:14" ht="12.75" customHeight="1" x14ac:dyDescent="0.25">
      <c r="A447" s="222"/>
      <c r="B447" s="222"/>
      <c r="C447" s="216"/>
      <c r="D447" s="216"/>
      <c r="E447" s="216"/>
      <c r="F447" s="216"/>
      <c r="G447" s="216"/>
      <c r="H447" s="216"/>
      <c r="L447" s="216"/>
      <c r="N447" s="222"/>
    </row>
    <row r="448" spans="1:14" ht="12.75" customHeight="1" x14ac:dyDescent="0.25">
      <c r="A448" s="222"/>
      <c r="B448" s="222"/>
      <c r="C448" s="216"/>
      <c r="D448" s="216"/>
      <c r="E448" s="216"/>
      <c r="F448" s="216"/>
      <c r="G448" s="216"/>
      <c r="H448" s="216"/>
      <c r="L448" s="216"/>
      <c r="N448" s="222"/>
    </row>
    <row r="449" spans="1:14" ht="12.75" customHeight="1" x14ac:dyDescent="0.25">
      <c r="A449" s="222"/>
      <c r="B449" s="222"/>
      <c r="C449" s="216"/>
      <c r="D449" s="216"/>
      <c r="E449" s="216"/>
      <c r="F449" s="216"/>
      <c r="G449" s="216"/>
      <c r="H449" s="216"/>
      <c r="L449" s="216"/>
      <c r="N449" s="222"/>
    </row>
    <row r="450" spans="1:14" ht="12.75" customHeight="1" x14ac:dyDescent="0.25">
      <c r="A450" s="222"/>
      <c r="B450" s="222"/>
      <c r="C450" s="216"/>
      <c r="D450" s="216"/>
      <c r="E450" s="216"/>
      <c r="F450" s="216"/>
      <c r="G450" s="216"/>
      <c r="H450" s="216"/>
      <c r="L450" s="216"/>
      <c r="N450" s="222"/>
    </row>
    <row r="451" spans="1:14" ht="12.75" customHeight="1" x14ac:dyDescent="0.25">
      <c r="A451" s="222"/>
      <c r="B451" s="222"/>
      <c r="C451" s="216"/>
      <c r="D451" s="216"/>
      <c r="E451" s="216"/>
      <c r="F451" s="216"/>
      <c r="G451" s="216"/>
      <c r="H451" s="216"/>
      <c r="L451" s="216"/>
      <c r="N451" s="222"/>
    </row>
    <row r="452" spans="1:14" ht="12.75" customHeight="1" x14ac:dyDescent="0.25">
      <c r="A452" s="222"/>
      <c r="B452" s="222"/>
      <c r="C452" s="216"/>
      <c r="D452" s="216"/>
      <c r="E452" s="216"/>
      <c r="F452" s="216"/>
      <c r="G452" s="216"/>
      <c r="H452" s="216"/>
      <c r="L452" s="216"/>
      <c r="N452" s="222"/>
    </row>
    <row r="453" spans="1:14" ht="12.75" customHeight="1" x14ac:dyDescent="0.25">
      <c r="A453" s="222"/>
      <c r="B453" s="222"/>
      <c r="C453" s="216"/>
      <c r="D453" s="216"/>
      <c r="E453" s="216"/>
      <c r="F453" s="216"/>
      <c r="G453" s="216"/>
      <c r="H453" s="216"/>
      <c r="L453" s="216"/>
      <c r="N453" s="222"/>
    </row>
    <row r="454" spans="1:14" ht="12.75" customHeight="1" x14ac:dyDescent="0.25">
      <c r="A454" s="222"/>
      <c r="B454" s="222"/>
      <c r="C454" s="216"/>
      <c r="D454" s="216"/>
      <c r="E454" s="216"/>
      <c r="F454" s="216"/>
      <c r="G454" s="216"/>
      <c r="H454" s="216"/>
      <c r="L454" s="216"/>
      <c r="N454" s="222"/>
    </row>
    <row r="455" spans="1:14" ht="12.75" customHeight="1" x14ac:dyDescent="0.25">
      <c r="A455" s="222"/>
      <c r="B455" s="222"/>
      <c r="C455" s="216"/>
      <c r="D455" s="216"/>
      <c r="E455" s="216"/>
      <c r="F455" s="216"/>
      <c r="G455" s="216"/>
      <c r="H455" s="216"/>
      <c r="L455" s="216"/>
      <c r="N455" s="222"/>
    </row>
    <row r="456" spans="1:14" ht="12.75" customHeight="1" x14ac:dyDescent="0.25">
      <c r="A456" s="222"/>
      <c r="B456" s="222"/>
      <c r="C456" s="216"/>
      <c r="D456" s="216"/>
      <c r="E456" s="216"/>
      <c r="F456" s="216"/>
      <c r="G456" s="216"/>
      <c r="H456" s="216"/>
      <c r="L456" s="216"/>
      <c r="N456" s="222"/>
    </row>
    <row r="457" spans="1:14" ht="12.75" customHeight="1" x14ac:dyDescent="0.25">
      <c r="A457" s="222"/>
      <c r="B457" s="222"/>
      <c r="C457" s="216"/>
      <c r="D457" s="216"/>
      <c r="E457" s="216"/>
      <c r="F457" s="216"/>
      <c r="G457" s="216"/>
      <c r="H457" s="216"/>
      <c r="L457" s="216"/>
      <c r="N457" s="222"/>
    </row>
    <row r="458" spans="1:14" ht="12.75" customHeight="1" x14ac:dyDescent="0.25">
      <c r="A458" s="222"/>
      <c r="B458" s="222"/>
      <c r="C458" s="216"/>
      <c r="D458" s="216"/>
      <c r="E458" s="216"/>
      <c r="F458" s="216"/>
      <c r="G458" s="216"/>
      <c r="H458" s="216"/>
      <c r="L458" s="216"/>
      <c r="N458" s="222"/>
    </row>
    <row r="459" spans="1:14" ht="12.75" customHeight="1" x14ac:dyDescent="0.25">
      <c r="A459" s="222"/>
      <c r="B459" s="222"/>
      <c r="C459" s="216"/>
      <c r="D459" s="216"/>
      <c r="E459" s="216"/>
      <c r="F459" s="216"/>
      <c r="G459" s="216"/>
      <c r="H459" s="216"/>
      <c r="L459" s="216"/>
      <c r="N459" s="222"/>
    </row>
    <row r="460" spans="1:14" ht="12.75" customHeight="1" x14ac:dyDescent="0.25">
      <c r="A460" s="222"/>
      <c r="B460" s="222"/>
      <c r="C460" s="216"/>
      <c r="D460" s="216"/>
      <c r="E460" s="216"/>
      <c r="F460" s="216"/>
      <c r="G460" s="216"/>
      <c r="H460" s="216"/>
      <c r="L460" s="216"/>
      <c r="N460" s="222"/>
    </row>
    <row r="461" spans="1:14" ht="12.75" customHeight="1" x14ac:dyDescent="0.25">
      <c r="A461" s="222"/>
      <c r="B461" s="222"/>
      <c r="C461" s="216"/>
      <c r="D461" s="216"/>
      <c r="E461" s="216"/>
      <c r="F461" s="216"/>
      <c r="G461" s="216"/>
      <c r="H461" s="216"/>
      <c r="L461" s="216"/>
      <c r="N461" s="222"/>
    </row>
    <row r="462" spans="1:14" ht="12.75" customHeight="1" x14ac:dyDescent="0.25">
      <c r="A462" s="222"/>
      <c r="B462" s="222"/>
      <c r="C462" s="216"/>
      <c r="D462" s="216"/>
      <c r="E462" s="216"/>
      <c r="F462" s="216"/>
      <c r="G462" s="216"/>
      <c r="H462" s="216"/>
      <c r="L462" s="216"/>
      <c r="N462" s="222"/>
    </row>
    <row r="463" spans="1:14" ht="12.75" customHeight="1" x14ac:dyDescent="0.25">
      <c r="A463" s="222"/>
      <c r="B463" s="222"/>
      <c r="C463" s="216"/>
      <c r="D463" s="216"/>
      <c r="E463" s="216"/>
      <c r="F463" s="216"/>
      <c r="G463" s="216"/>
      <c r="H463" s="216"/>
      <c r="L463" s="216"/>
      <c r="N463" s="222"/>
    </row>
    <row r="464" spans="1:14" ht="12.75" customHeight="1" x14ac:dyDescent="0.25">
      <c r="A464" s="222"/>
      <c r="B464" s="222"/>
      <c r="C464" s="216"/>
      <c r="D464" s="216"/>
      <c r="E464" s="216"/>
      <c r="F464" s="216"/>
      <c r="G464" s="216"/>
      <c r="H464" s="216"/>
      <c r="L464" s="216"/>
      <c r="N464" s="222"/>
    </row>
    <row r="465" spans="1:14" ht="12.75" customHeight="1" x14ac:dyDescent="0.25">
      <c r="A465" s="222"/>
      <c r="B465" s="222"/>
      <c r="C465" s="216"/>
      <c r="D465" s="216"/>
      <c r="E465" s="216"/>
      <c r="F465" s="216"/>
      <c r="G465" s="216"/>
      <c r="H465" s="216"/>
      <c r="L465" s="216"/>
      <c r="N465" s="222"/>
    </row>
    <row r="466" spans="1:14" ht="12.75" customHeight="1" x14ac:dyDescent="0.25">
      <c r="A466" s="222"/>
      <c r="B466" s="222"/>
      <c r="C466" s="216"/>
      <c r="D466" s="216"/>
      <c r="E466" s="216"/>
      <c r="F466" s="216"/>
      <c r="G466" s="216"/>
      <c r="H466" s="216"/>
      <c r="L466" s="216"/>
      <c r="N466" s="222"/>
    </row>
    <row r="467" spans="1:14" ht="12.75" customHeight="1" x14ac:dyDescent="0.25">
      <c r="A467" s="222"/>
      <c r="B467" s="222"/>
      <c r="C467" s="216"/>
      <c r="D467" s="216"/>
      <c r="E467" s="216"/>
      <c r="F467" s="216"/>
      <c r="G467" s="216"/>
      <c r="H467" s="216"/>
      <c r="L467" s="216"/>
      <c r="N467" s="222"/>
    </row>
    <row r="468" spans="1:14" ht="12.75" customHeight="1" x14ac:dyDescent="0.25">
      <c r="A468" s="222"/>
      <c r="B468" s="222"/>
      <c r="C468" s="216"/>
      <c r="D468" s="216"/>
      <c r="E468" s="216"/>
      <c r="F468" s="216"/>
      <c r="G468" s="216"/>
      <c r="H468" s="216"/>
      <c r="L468" s="216"/>
      <c r="N468" s="222"/>
    </row>
    <row r="469" spans="1:14" ht="12.75" customHeight="1" x14ac:dyDescent="0.25">
      <c r="A469" s="222"/>
      <c r="B469" s="222"/>
      <c r="C469" s="216"/>
      <c r="D469" s="216"/>
      <c r="E469" s="216"/>
      <c r="F469" s="216"/>
      <c r="G469" s="216"/>
      <c r="H469" s="216"/>
      <c r="L469" s="216"/>
      <c r="N469" s="222"/>
    </row>
    <row r="470" spans="1:14" ht="12.75" customHeight="1" x14ac:dyDescent="0.25">
      <c r="A470" s="222"/>
      <c r="B470" s="222"/>
      <c r="C470" s="216"/>
      <c r="D470" s="216"/>
      <c r="E470" s="216"/>
      <c r="F470" s="216"/>
      <c r="G470" s="216"/>
      <c r="H470" s="216"/>
      <c r="L470" s="216"/>
      <c r="N470" s="222"/>
    </row>
    <row r="471" spans="1:14" ht="12.75" customHeight="1" x14ac:dyDescent="0.25">
      <c r="A471" s="222"/>
      <c r="B471" s="222"/>
      <c r="C471" s="216"/>
      <c r="D471" s="216"/>
      <c r="E471" s="216"/>
      <c r="F471" s="216"/>
      <c r="G471" s="216"/>
      <c r="H471" s="216"/>
      <c r="L471" s="216"/>
      <c r="N471" s="222"/>
    </row>
    <row r="472" spans="1:14" ht="12.75" customHeight="1" x14ac:dyDescent="0.25">
      <c r="A472" s="222"/>
      <c r="B472" s="222"/>
      <c r="C472" s="216"/>
      <c r="D472" s="216"/>
      <c r="E472" s="216"/>
      <c r="F472" s="216"/>
      <c r="G472" s="216"/>
      <c r="H472" s="216"/>
      <c r="L472" s="216"/>
      <c r="N472" s="222"/>
    </row>
    <row r="473" spans="1:14" ht="12.75" customHeight="1" x14ac:dyDescent="0.25">
      <c r="A473" s="222"/>
      <c r="B473" s="222"/>
      <c r="C473" s="216"/>
      <c r="D473" s="216"/>
      <c r="E473" s="216"/>
      <c r="F473" s="216"/>
      <c r="G473" s="216"/>
      <c r="H473" s="216"/>
      <c r="L473" s="216"/>
      <c r="N473" s="222"/>
    </row>
    <row r="474" spans="1:14" ht="12.75" customHeight="1" x14ac:dyDescent="0.25">
      <c r="A474" s="222"/>
      <c r="B474" s="222"/>
      <c r="C474" s="216"/>
      <c r="D474" s="216"/>
      <c r="E474" s="216"/>
      <c r="F474" s="216"/>
      <c r="G474" s="216"/>
      <c r="H474" s="216"/>
      <c r="L474" s="216"/>
      <c r="N474" s="222"/>
    </row>
    <row r="475" spans="1:14" ht="12.75" customHeight="1" x14ac:dyDescent="0.25">
      <c r="A475" s="222"/>
      <c r="B475" s="222"/>
      <c r="C475" s="216"/>
      <c r="D475" s="216"/>
      <c r="E475" s="216"/>
      <c r="F475" s="216"/>
      <c r="G475" s="216"/>
      <c r="H475" s="216"/>
      <c r="L475" s="216"/>
      <c r="N475" s="222"/>
    </row>
    <row r="476" spans="1:14" ht="12.75" customHeight="1" x14ac:dyDescent="0.25">
      <c r="A476" s="222"/>
      <c r="B476" s="222"/>
      <c r="C476" s="216"/>
      <c r="D476" s="216"/>
      <c r="E476" s="216"/>
      <c r="F476" s="216"/>
      <c r="G476" s="216"/>
      <c r="H476" s="216"/>
      <c r="L476" s="216"/>
      <c r="N476" s="222"/>
    </row>
    <row r="477" spans="1:14" ht="12.75" customHeight="1" x14ac:dyDescent="0.25">
      <c r="A477" s="222"/>
      <c r="B477" s="222"/>
      <c r="C477" s="216"/>
      <c r="D477" s="216"/>
      <c r="E477" s="216"/>
      <c r="F477" s="216"/>
      <c r="G477" s="216"/>
      <c r="H477" s="216"/>
      <c r="L477" s="216"/>
      <c r="N477" s="222"/>
    </row>
    <row r="478" spans="1:14" ht="12.75" customHeight="1" x14ac:dyDescent="0.25">
      <c r="A478" s="222"/>
      <c r="B478" s="222"/>
      <c r="C478" s="216"/>
      <c r="D478" s="216"/>
      <c r="E478" s="216"/>
      <c r="F478" s="216"/>
      <c r="G478" s="216"/>
      <c r="H478" s="216"/>
      <c r="L478" s="216"/>
      <c r="N478" s="222"/>
    </row>
    <row r="479" spans="1:14" ht="12.75" customHeight="1" x14ac:dyDescent="0.25">
      <c r="A479" s="222"/>
      <c r="B479" s="222"/>
      <c r="C479" s="216"/>
      <c r="D479" s="216"/>
      <c r="E479" s="216"/>
      <c r="F479" s="216"/>
      <c r="G479" s="216"/>
      <c r="H479" s="216"/>
      <c r="L479" s="216"/>
      <c r="N479" s="222"/>
    </row>
    <row r="480" spans="1:14" ht="12.75" customHeight="1" x14ac:dyDescent="0.25">
      <c r="A480" s="222"/>
      <c r="B480" s="222"/>
      <c r="C480" s="216"/>
      <c r="D480" s="216"/>
      <c r="E480" s="216"/>
      <c r="F480" s="216"/>
      <c r="G480" s="216"/>
      <c r="H480" s="216"/>
      <c r="L480" s="216"/>
      <c r="N480" s="222"/>
    </row>
    <row r="481" spans="1:14" ht="12.75" customHeight="1" x14ac:dyDescent="0.25">
      <c r="A481" s="222"/>
      <c r="B481" s="222"/>
      <c r="C481" s="216"/>
      <c r="D481" s="216"/>
      <c r="E481" s="216"/>
      <c r="F481" s="216"/>
      <c r="G481" s="216"/>
      <c r="H481" s="216"/>
      <c r="L481" s="216"/>
      <c r="N481" s="222"/>
    </row>
    <row r="482" spans="1:14" ht="12.75" customHeight="1" x14ac:dyDescent="0.25">
      <c r="A482" s="222"/>
      <c r="B482" s="222"/>
      <c r="C482" s="216"/>
      <c r="D482" s="216"/>
      <c r="E482" s="216"/>
      <c r="F482" s="216"/>
      <c r="G482" s="216"/>
      <c r="H482" s="216"/>
      <c r="L482" s="216"/>
      <c r="N482" s="222"/>
    </row>
    <row r="483" spans="1:14" ht="12.75" customHeight="1" x14ac:dyDescent="0.25">
      <c r="A483" s="222"/>
      <c r="B483" s="222"/>
      <c r="C483" s="216"/>
      <c r="D483" s="216"/>
      <c r="E483" s="216"/>
      <c r="F483" s="216"/>
      <c r="G483" s="216"/>
      <c r="H483" s="216"/>
      <c r="L483" s="216"/>
      <c r="N483" s="222"/>
    </row>
    <row r="484" spans="1:14" ht="12.75" customHeight="1" x14ac:dyDescent="0.25">
      <c r="A484" s="222"/>
      <c r="B484" s="222"/>
      <c r="C484" s="216"/>
      <c r="D484" s="216"/>
      <c r="E484" s="216"/>
      <c r="F484" s="216"/>
      <c r="G484" s="216"/>
      <c r="H484" s="216"/>
      <c r="L484" s="216"/>
      <c r="N484" s="222"/>
    </row>
    <row r="485" spans="1:14" ht="12.75" customHeight="1" x14ac:dyDescent="0.25">
      <c r="A485" s="222"/>
      <c r="B485" s="222"/>
      <c r="C485" s="216"/>
      <c r="D485" s="216"/>
      <c r="E485" s="216"/>
      <c r="F485" s="216"/>
      <c r="G485" s="216"/>
      <c r="H485" s="216"/>
      <c r="L485" s="216"/>
      <c r="N485" s="222"/>
    </row>
    <row r="486" spans="1:14" ht="12.75" customHeight="1" x14ac:dyDescent="0.25">
      <c r="A486" s="222"/>
      <c r="B486" s="222"/>
      <c r="C486" s="216"/>
      <c r="D486" s="216"/>
      <c r="E486" s="216"/>
      <c r="F486" s="216"/>
      <c r="G486" s="216"/>
      <c r="H486" s="216"/>
      <c r="L486" s="216"/>
      <c r="N486" s="222"/>
    </row>
    <row r="487" spans="1:14" ht="12.75" customHeight="1" x14ac:dyDescent="0.25">
      <c r="A487" s="222"/>
      <c r="B487" s="222"/>
      <c r="C487" s="216"/>
      <c r="D487" s="216"/>
      <c r="E487" s="216"/>
      <c r="F487" s="216"/>
      <c r="G487" s="216"/>
      <c r="H487" s="216"/>
      <c r="L487" s="216"/>
      <c r="N487" s="222"/>
    </row>
    <row r="488" spans="1:14" ht="12.75" customHeight="1" x14ac:dyDescent="0.25">
      <c r="A488" s="222"/>
      <c r="B488" s="222"/>
      <c r="C488" s="216"/>
      <c r="D488" s="216"/>
      <c r="E488" s="216"/>
      <c r="F488" s="216"/>
      <c r="G488" s="216"/>
      <c r="H488" s="216"/>
      <c r="L488" s="216"/>
      <c r="N488" s="222"/>
    </row>
    <row r="489" spans="1:14" ht="12.75" customHeight="1" x14ac:dyDescent="0.25">
      <c r="A489" s="222"/>
      <c r="B489" s="222"/>
      <c r="C489" s="216"/>
      <c r="D489" s="216"/>
      <c r="E489" s="216"/>
      <c r="F489" s="216"/>
      <c r="G489" s="216"/>
      <c r="H489" s="216"/>
      <c r="L489" s="216"/>
      <c r="N489" s="222"/>
    </row>
    <row r="490" spans="1:14" ht="12.75" customHeight="1" x14ac:dyDescent="0.25">
      <c r="A490" s="222"/>
      <c r="B490" s="222"/>
      <c r="C490" s="216"/>
      <c r="D490" s="216"/>
      <c r="E490" s="216"/>
      <c r="F490" s="216"/>
      <c r="G490" s="216"/>
      <c r="H490" s="216"/>
      <c r="L490" s="216"/>
      <c r="N490" s="222"/>
    </row>
    <row r="491" spans="1:14" ht="12.75" customHeight="1" x14ac:dyDescent="0.25">
      <c r="A491" s="222"/>
      <c r="B491" s="222"/>
      <c r="C491" s="216"/>
      <c r="D491" s="216"/>
      <c r="E491" s="216"/>
      <c r="F491" s="216"/>
      <c r="G491" s="216"/>
      <c r="H491" s="216"/>
      <c r="L491" s="216"/>
      <c r="N491" s="222"/>
    </row>
    <row r="492" spans="1:14" ht="12.75" customHeight="1" x14ac:dyDescent="0.25">
      <c r="A492" s="222"/>
      <c r="B492" s="222"/>
      <c r="C492" s="216"/>
      <c r="D492" s="216"/>
      <c r="E492" s="216"/>
      <c r="F492" s="216"/>
      <c r="G492" s="216"/>
      <c r="H492" s="216"/>
      <c r="L492" s="216"/>
      <c r="N492" s="222"/>
    </row>
    <row r="493" spans="1:14" ht="12.75" customHeight="1" x14ac:dyDescent="0.25">
      <c r="A493" s="222"/>
      <c r="B493" s="222"/>
      <c r="C493" s="216"/>
      <c r="D493" s="216"/>
      <c r="E493" s="216"/>
      <c r="F493" s="216"/>
      <c r="G493" s="216"/>
      <c r="H493" s="216"/>
      <c r="L493" s="216"/>
      <c r="N493" s="222"/>
    </row>
    <row r="494" spans="1:14" ht="12.75" customHeight="1" x14ac:dyDescent="0.25">
      <c r="A494" s="222"/>
      <c r="B494" s="222"/>
      <c r="C494" s="216"/>
      <c r="D494" s="216"/>
      <c r="E494" s="216"/>
      <c r="F494" s="216"/>
      <c r="G494" s="216"/>
      <c r="H494" s="216"/>
      <c r="L494" s="216"/>
      <c r="N494" s="222"/>
    </row>
    <row r="495" spans="1:14" ht="12.75" customHeight="1" x14ac:dyDescent="0.25">
      <c r="A495" s="222"/>
      <c r="B495" s="222"/>
      <c r="C495" s="216"/>
      <c r="D495" s="216"/>
      <c r="E495" s="216"/>
      <c r="F495" s="216"/>
      <c r="G495" s="216"/>
      <c r="H495" s="216"/>
      <c r="L495" s="216"/>
      <c r="N495" s="222"/>
    </row>
    <row r="496" spans="1:14" ht="12.75" customHeight="1" x14ac:dyDescent="0.25">
      <c r="A496" s="222"/>
      <c r="B496" s="222"/>
      <c r="C496" s="216"/>
      <c r="D496" s="216"/>
      <c r="E496" s="216"/>
      <c r="F496" s="216"/>
      <c r="G496" s="216"/>
      <c r="H496" s="216"/>
      <c r="L496" s="216"/>
      <c r="N496" s="222"/>
    </row>
    <row r="497" spans="1:14" ht="12.75" customHeight="1" x14ac:dyDescent="0.25">
      <c r="A497" s="222"/>
      <c r="B497" s="222"/>
      <c r="C497" s="216"/>
      <c r="D497" s="216"/>
      <c r="E497" s="216"/>
      <c r="F497" s="216"/>
      <c r="G497" s="216"/>
      <c r="H497" s="216"/>
      <c r="L497" s="216"/>
      <c r="N497" s="222"/>
    </row>
    <row r="498" spans="1:14" ht="12.75" customHeight="1" x14ac:dyDescent="0.25">
      <c r="A498" s="222"/>
      <c r="B498" s="222"/>
      <c r="C498" s="216"/>
      <c r="D498" s="216"/>
      <c r="E498" s="216"/>
      <c r="F498" s="216"/>
      <c r="G498" s="216"/>
      <c r="H498" s="216"/>
      <c r="L498" s="216"/>
      <c r="N498" s="222"/>
    </row>
    <row r="499" spans="1:14" ht="12.75" customHeight="1" x14ac:dyDescent="0.25">
      <c r="A499" s="222"/>
      <c r="B499" s="222"/>
      <c r="C499" s="216"/>
      <c r="D499" s="216"/>
      <c r="E499" s="216"/>
      <c r="F499" s="216"/>
      <c r="G499" s="216"/>
      <c r="H499" s="216"/>
      <c r="L499" s="216"/>
      <c r="N499" s="222"/>
    </row>
    <row r="500" spans="1:14" ht="12.75" customHeight="1" x14ac:dyDescent="0.25">
      <c r="A500" s="222"/>
      <c r="B500" s="222"/>
      <c r="C500" s="216"/>
      <c r="D500" s="216"/>
      <c r="E500" s="216"/>
      <c r="F500" s="216"/>
      <c r="G500" s="216"/>
      <c r="H500" s="216"/>
      <c r="L500" s="216"/>
      <c r="N500" s="222"/>
    </row>
    <row r="501" spans="1:14" ht="12.75" customHeight="1" x14ac:dyDescent="0.25">
      <c r="A501" s="222"/>
      <c r="B501" s="222"/>
      <c r="C501" s="216"/>
      <c r="D501" s="216"/>
      <c r="E501" s="216"/>
      <c r="F501" s="216"/>
      <c r="G501" s="216"/>
      <c r="H501" s="216"/>
      <c r="L501" s="216"/>
      <c r="N501" s="222"/>
    </row>
    <row r="502" spans="1:14" ht="12.75" customHeight="1" x14ac:dyDescent="0.25">
      <c r="A502" s="222"/>
      <c r="B502" s="222"/>
      <c r="C502" s="216"/>
      <c r="D502" s="216"/>
      <c r="E502" s="216"/>
      <c r="F502" s="216"/>
      <c r="G502" s="216"/>
      <c r="H502" s="216"/>
      <c r="L502" s="216"/>
      <c r="N502" s="222"/>
    </row>
    <row r="503" spans="1:14" ht="12.75" customHeight="1" x14ac:dyDescent="0.25">
      <c r="A503" s="222"/>
      <c r="B503" s="222"/>
      <c r="C503" s="216"/>
      <c r="D503" s="216"/>
      <c r="E503" s="216"/>
      <c r="F503" s="216"/>
      <c r="G503" s="216"/>
      <c r="H503" s="216"/>
      <c r="L503" s="216"/>
      <c r="N503" s="222"/>
    </row>
    <row r="504" spans="1:14" ht="12.75" customHeight="1" x14ac:dyDescent="0.25">
      <c r="A504" s="222"/>
      <c r="B504" s="222"/>
      <c r="C504" s="216"/>
      <c r="D504" s="216"/>
      <c r="E504" s="216"/>
      <c r="F504" s="216"/>
      <c r="G504" s="216"/>
      <c r="H504" s="216"/>
      <c r="L504" s="216"/>
      <c r="N504" s="222"/>
    </row>
    <row r="505" spans="1:14" ht="12.75" customHeight="1" x14ac:dyDescent="0.25">
      <c r="A505" s="222"/>
      <c r="B505" s="222"/>
      <c r="C505" s="216"/>
      <c r="D505" s="216"/>
      <c r="E505" s="216"/>
      <c r="F505" s="216"/>
      <c r="G505" s="216"/>
      <c r="H505" s="216"/>
      <c r="L505" s="216"/>
      <c r="N505" s="222"/>
    </row>
    <row r="506" spans="1:14" ht="12.75" customHeight="1" x14ac:dyDescent="0.25">
      <c r="A506" s="222"/>
      <c r="B506" s="222"/>
      <c r="C506" s="216"/>
      <c r="D506" s="216"/>
      <c r="E506" s="216"/>
      <c r="F506" s="216"/>
      <c r="G506" s="216"/>
      <c r="H506" s="216"/>
      <c r="L506" s="216"/>
      <c r="N506" s="222"/>
    </row>
    <row r="507" spans="1:14" ht="12.75" customHeight="1" x14ac:dyDescent="0.25">
      <c r="A507" s="222"/>
      <c r="B507" s="222"/>
      <c r="C507" s="216"/>
      <c r="D507" s="216"/>
      <c r="E507" s="216"/>
      <c r="F507" s="216"/>
      <c r="G507" s="216"/>
      <c r="H507" s="216"/>
      <c r="L507" s="216"/>
      <c r="N507" s="222"/>
    </row>
    <row r="508" spans="1:14" ht="12.75" customHeight="1" x14ac:dyDescent="0.25">
      <c r="A508" s="222"/>
      <c r="B508" s="222"/>
      <c r="C508" s="216"/>
      <c r="D508" s="216"/>
      <c r="E508" s="216"/>
      <c r="F508" s="216"/>
      <c r="G508" s="216"/>
      <c r="H508" s="216"/>
      <c r="L508" s="216"/>
      <c r="N508" s="222"/>
    </row>
    <row r="509" spans="1:14" ht="12.75" customHeight="1" x14ac:dyDescent="0.25">
      <c r="A509" s="222"/>
      <c r="B509" s="222"/>
      <c r="C509" s="216"/>
      <c r="D509" s="216"/>
      <c r="E509" s="216"/>
      <c r="F509" s="216"/>
      <c r="G509" s="216"/>
      <c r="H509" s="216"/>
      <c r="L509" s="216"/>
      <c r="N509" s="222"/>
    </row>
    <row r="510" spans="1:14" ht="12.75" customHeight="1" x14ac:dyDescent="0.25">
      <c r="A510" s="222"/>
      <c r="B510" s="222"/>
      <c r="C510" s="216"/>
      <c r="D510" s="216"/>
      <c r="E510" s="216"/>
      <c r="F510" s="216"/>
      <c r="G510" s="216"/>
      <c r="H510" s="216"/>
      <c r="L510" s="216"/>
      <c r="N510" s="222"/>
    </row>
    <row r="511" spans="1:14" ht="12.75" customHeight="1" x14ac:dyDescent="0.25">
      <c r="A511" s="222"/>
      <c r="B511" s="222"/>
      <c r="C511" s="216"/>
      <c r="D511" s="216"/>
      <c r="E511" s="216"/>
      <c r="F511" s="216"/>
      <c r="G511" s="216"/>
      <c r="H511" s="216"/>
      <c r="L511" s="216"/>
      <c r="N511" s="222"/>
    </row>
    <row r="512" spans="1:14" ht="12.75" customHeight="1" x14ac:dyDescent="0.25">
      <c r="A512" s="222"/>
      <c r="B512" s="222"/>
      <c r="C512" s="216"/>
      <c r="D512" s="216"/>
      <c r="E512" s="216"/>
      <c r="F512" s="216"/>
      <c r="G512" s="216"/>
      <c r="H512" s="216"/>
      <c r="L512" s="216"/>
      <c r="N512" s="222"/>
    </row>
    <row r="513" spans="1:14" ht="12.75" customHeight="1" x14ac:dyDescent="0.25">
      <c r="A513" s="222"/>
      <c r="B513" s="222"/>
      <c r="C513" s="216"/>
      <c r="D513" s="216"/>
      <c r="E513" s="216"/>
      <c r="F513" s="216"/>
      <c r="G513" s="216"/>
      <c r="H513" s="216"/>
      <c r="L513" s="216"/>
      <c r="N513" s="222"/>
    </row>
    <row r="514" spans="1:14" ht="12.75" customHeight="1" x14ac:dyDescent="0.25">
      <c r="A514" s="222"/>
      <c r="B514" s="222"/>
      <c r="C514" s="216"/>
      <c r="D514" s="216"/>
      <c r="E514" s="216"/>
      <c r="F514" s="216"/>
      <c r="G514" s="216"/>
      <c r="H514" s="216"/>
      <c r="L514" s="216"/>
      <c r="N514" s="222"/>
    </row>
    <row r="515" spans="1:14" ht="12.75" customHeight="1" x14ac:dyDescent="0.25">
      <c r="A515" s="222"/>
      <c r="B515" s="222"/>
      <c r="C515" s="216"/>
      <c r="D515" s="216"/>
      <c r="E515" s="216"/>
      <c r="F515" s="216"/>
      <c r="G515" s="216"/>
      <c r="H515" s="216"/>
      <c r="L515" s="216"/>
      <c r="N515" s="222"/>
    </row>
    <row r="516" spans="1:14" ht="12.75" customHeight="1" x14ac:dyDescent="0.25">
      <c r="A516" s="222"/>
      <c r="B516" s="222"/>
      <c r="C516" s="216"/>
      <c r="D516" s="216"/>
      <c r="E516" s="216"/>
      <c r="F516" s="216"/>
      <c r="G516" s="216"/>
      <c r="H516" s="216"/>
      <c r="L516" s="216"/>
      <c r="N516" s="222"/>
    </row>
    <row r="517" spans="1:14" ht="12.75" customHeight="1" x14ac:dyDescent="0.25">
      <c r="A517" s="222"/>
      <c r="B517" s="222"/>
      <c r="C517" s="216"/>
      <c r="D517" s="216"/>
      <c r="E517" s="216"/>
      <c r="F517" s="216"/>
      <c r="G517" s="216"/>
      <c r="H517" s="216"/>
      <c r="L517" s="216"/>
      <c r="N517" s="222"/>
    </row>
    <row r="518" spans="1:14" ht="12.75" customHeight="1" x14ac:dyDescent="0.25">
      <c r="A518" s="222"/>
      <c r="B518" s="222"/>
      <c r="C518" s="216"/>
      <c r="D518" s="216"/>
      <c r="E518" s="216"/>
      <c r="F518" s="216"/>
      <c r="G518" s="216"/>
      <c r="H518" s="216"/>
      <c r="L518" s="216"/>
      <c r="N518" s="222"/>
    </row>
    <row r="519" spans="1:14" ht="12.75" customHeight="1" x14ac:dyDescent="0.25">
      <c r="A519" s="222"/>
      <c r="B519" s="222"/>
      <c r="C519" s="216"/>
      <c r="D519" s="216"/>
      <c r="E519" s="216"/>
      <c r="F519" s="216"/>
      <c r="G519" s="216"/>
      <c r="H519" s="216"/>
      <c r="L519" s="216"/>
      <c r="N519" s="222"/>
    </row>
    <row r="520" spans="1:14" ht="12.75" customHeight="1" x14ac:dyDescent="0.25">
      <c r="A520" s="222"/>
      <c r="B520" s="222"/>
      <c r="C520" s="216"/>
      <c r="D520" s="216"/>
      <c r="E520" s="216"/>
      <c r="F520" s="216"/>
      <c r="G520" s="216"/>
      <c r="H520" s="216"/>
      <c r="L520" s="216"/>
      <c r="N520" s="222"/>
    </row>
    <row r="521" spans="1:14" ht="12.75" customHeight="1" x14ac:dyDescent="0.25">
      <c r="A521" s="222"/>
      <c r="B521" s="222"/>
      <c r="C521" s="216"/>
      <c r="D521" s="216"/>
      <c r="E521" s="216"/>
      <c r="F521" s="216"/>
      <c r="G521" s="216"/>
      <c r="H521" s="216"/>
      <c r="L521" s="216"/>
      <c r="N521" s="222"/>
    </row>
    <row r="522" spans="1:14" ht="12.75" customHeight="1" x14ac:dyDescent="0.25">
      <c r="A522" s="222"/>
      <c r="B522" s="222"/>
      <c r="C522" s="216"/>
      <c r="D522" s="216"/>
      <c r="E522" s="216"/>
      <c r="F522" s="216"/>
      <c r="G522" s="216"/>
      <c r="H522" s="216"/>
      <c r="L522" s="216"/>
      <c r="N522" s="222"/>
    </row>
    <row r="523" spans="1:14" ht="12.75" customHeight="1" x14ac:dyDescent="0.25">
      <c r="A523" s="222"/>
      <c r="B523" s="222"/>
      <c r="C523" s="216"/>
      <c r="D523" s="216"/>
      <c r="E523" s="216"/>
      <c r="F523" s="216"/>
      <c r="G523" s="216"/>
      <c r="H523" s="216"/>
      <c r="L523" s="216"/>
      <c r="N523" s="222"/>
    </row>
    <row r="524" spans="1:14" ht="12.75" customHeight="1" x14ac:dyDescent="0.25">
      <c r="A524" s="222"/>
      <c r="B524" s="222"/>
      <c r="C524" s="216"/>
      <c r="D524" s="216"/>
      <c r="E524" s="216"/>
      <c r="F524" s="216"/>
      <c r="G524" s="216"/>
      <c r="H524" s="216"/>
      <c r="L524" s="216"/>
      <c r="N524" s="222"/>
    </row>
    <row r="525" spans="1:14" ht="12.75" customHeight="1" x14ac:dyDescent="0.25">
      <c r="A525" s="222"/>
      <c r="B525" s="222"/>
      <c r="C525" s="216"/>
      <c r="D525" s="216"/>
      <c r="E525" s="216"/>
      <c r="F525" s="216"/>
      <c r="G525" s="216"/>
      <c r="H525" s="216"/>
      <c r="L525" s="216"/>
      <c r="N525" s="222"/>
    </row>
    <row r="526" spans="1:14" ht="12.75" customHeight="1" x14ac:dyDescent="0.25">
      <c r="A526" s="222"/>
      <c r="B526" s="222"/>
      <c r="C526" s="216"/>
      <c r="D526" s="216"/>
      <c r="E526" s="216"/>
      <c r="F526" s="216"/>
      <c r="G526" s="216"/>
      <c r="H526" s="216"/>
      <c r="L526" s="216"/>
      <c r="N526" s="222"/>
    </row>
    <row r="527" spans="1:14" ht="12.75" customHeight="1" x14ac:dyDescent="0.25">
      <c r="A527" s="222"/>
      <c r="B527" s="222"/>
      <c r="C527" s="216"/>
      <c r="D527" s="216"/>
      <c r="E527" s="216"/>
      <c r="F527" s="216"/>
      <c r="G527" s="216"/>
      <c r="H527" s="216"/>
      <c r="L527" s="216"/>
      <c r="N527" s="222"/>
    </row>
    <row r="528" spans="1:14" ht="12.75" customHeight="1" x14ac:dyDescent="0.25">
      <c r="A528" s="222"/>
      <c r="B528" s="222"/>
      <c r="C528" s="216"/>
      <c r="D528" s="216"/>
      <c r="E528" s="216"/>
      <c r="F528" s="216"/>
      <c r="G528" s="216"/>
      <c r="H528" s="216"/>
      <c r="L528" s="216"/>
      <c r="N528" s="222"/>
    </row>
    <row r="529" spans="1:14" ht="12.75" customHeight="1" x14ac:dyDescent="0.25">
      <c r="A529" s="222"/>
      <c r="B529" s="222"/>
      <c r="C529" s="216"/>
      <c r="D529" s="216"/>
      <c r="E529" s="216"/>
      <c r="F529" s="216"/>
      <c r="G529" s="216"/>
      <c r="H529" s="216"/>
      <c r="L529" s="216"/>
      <c r="N529" s="222"/>
    </row>
    <row r="530" spans="1:14" ht="12.75" customHeight="1" x14ac:dyDescent="0.25">
      <c r="A530" s="222"/>
      <c r="B530" s="222"/>
      <c r="C530" s="216"/>
      <c r="D530" s="216"/>
      <c r="E530" s="216"/>
      <c r="F530" s="216"/>
      <c r="G530" s="216"/>
      <c r="H530" s="216"/>
      <c r="L530" s="216"/>
      <c r="N530" s="222"/>
    </row>
    <row r="531" spans="1:14" ht="12.75" customHeight="1" x14ac:dyDescent="0.25">
      <c r="A531" s="222"/>
      <c r="B531" s="222"/>
      <c r="C531" s="216"/>
      <c r="D531" s="216"/>
      <c r="E531" s="216"/>
      <c r="F531" s="216"/>
      <c r="G531" s="216"/>
      <c r="H531" s="216"/>
      <c r="L531" s="216"/>
      <c r="N531" s="222"/>
    </row>
    <row r="532" spans="1:14" ht="12.75" customHeight="1" x14ac:dyDescent="0.25">
      <c r="A532" s="222"/>
      <c r="B532" s="222"/>
      <c r="C532" s="216"/>
      <c r="D532" s="216"/>
      <c r="E532" s="216"/>
      <c r="F532" s="216"/>
      <c r="G532" s="216"/>
      <c r="H532" s="216"/>
      <c r="L532" s="216"/>
      <c r="N532" s="222"/>
    </row>
    <row r="533" spans="1:14" ht="12.75" customHeight="1" x14ac:dyDescent="0.25">
      <c r="A533" s="222"/>
      <c r="B533" s="222"/>
      <c r="C533" s="216"/>
      <c r="D533" s="216"/>
      <c r="E533" s="216"/>
      <c r="F533" s="216"/>
      <c r="G533" s="216"/>
      <c r="H533" s="216"/>
      <c r="L533" s="216"/>
      <c r="N533" s="222"/>
    </row>
    <row r="534" spans="1:14" ht="12.75" customHeight="1" x14ac:dyDescent="0.25">
      <c r="A534" s="222"/>
      <c r="B534" s="222"/>
      <c r="C534" s="216"/>
      <c r="D534" s="216"/>
      <c r="E534" s="216"/>
      <c r="F534" s="216"/>
      <c r="G534" s="216"/>
      <c r="H534" s="216"/>
      <c r="L534" s="216"/>
      <c r="N534" s="222"/>
    </row>
    <row r="535" spans="1:14" ht="12.75" customHeight="1" x14ac:dyDescent="0.25">
      <c r="A535" s="222"/>
      <c r="B535" s="222"/>
      <c r="C535" s="216"/>
      <c r="D535" s="216"/>
      <c r="E535" s="216"/>
      <c r="F535" s="216"/>
      <c r="G535" s="216"/>
      <c r="H535" s="216"/>
      <c r="L535" s="216"/>
      <c r="N535" s="222"/>
    </row>
    <row r="536" spans="1:14" ht="12.75" customHeight="1" x14ac:dyDescent="0.25">
      <c r="A536" s="222"/>
      <c r="B536" s="222"/>
      <c r="C536" s="216"/>
      <c r="D536" s="216"/>
      <c r="E536" s="216"/>
      <c r="F536" s="216"/>
      <c r="G536" s="216"/>
      <c r="H536" s="216"/>
      <c r="L536" s="216"/>
      <c r="N536" s="222"/>
    </row>
    <row r="537" spans="1:14" ht="12.75" customHeight="1" x14ac:dyDescent="0.25">
      <c r="A537" s="222"/>
      <c r="B537" s="222"/>
      <c r="C537" s="216"/>
      <c r="D537" s="216"/>
      <c r="E537" s="216"/>
      <c r="F537" s="216"/>
      <c r="G537" s="216"/>
      <c r="H537" s="216"/>
      <c r="L537" s="216"/>
      <c r="N537" s="222"/>
    </row>
    <row r="538" spans="1:14" ht="12.75" customHeight="1" x14ac:dyDescent="0.25">
      <c r="A538" s="222"/>
      <c r="B538" s="222"/>
      <c r="C538" s="216"/>
      <c r="D538" s="216"/>
      <c r="E538" s="216"/>
      <c r="F538" s="216"/>
      <c r="G538" s="216"/>
      <c r="H538" s="216"/>
      <c r="L538" s="216"/>
      <c r="N538" s="222"/>
    </row>
    <row r="539" spans="1:14" ht="12.75" customHeight="1" x14ac:dyDescent="0.25">
      <c r="A539" s="222"/>
      <c r="B539" s="222"/>
      <c r="C539" s="216"/>
      <c r="D539" s="216"/>
      <c r="E539" s="216"/>
      <c r="F539" s="216"/>
      <c r="G539" s="216"/>
      <c r="H539" s="216"/>
      <c r="L539" s="216"/>
      <c r="N539" s="222"/>
    </row>
    <row r="540" spans="1:14" ht="12.75" customHeight="1" x14ac:dyDescent="0.25">
      <c r="A540" s="222"/>
      <c r="B540" s="222"/>
      <c r="C540" s="216"/>
      <c r="D540" s="216"/>
      <c r="E540" s="216"/>
      <c r="F540" s="216"/>
      <c r="G540" s="216"/>
      <c r="H540" s="216"/>
      <c r="L540" s="216"/>
      <c r="N540" s="222"/>
    </row>
    <row r="541" spans="1:14" ht="12.75" customHeight="1" x14ac:dyDescent="0.25">
      <c r="A541" s="222"/>
      <c r="B541" s="222"/>
      <c r="C541" s="216"/>
      <c r="D541" s="216"/>
      <c r="E541" s="216"/>
      <c r="F541" s="216"/>
      <c r="G541" s="216"/>
      <c r="H541" s="216"/>
      <c r="L541" s="216"/>
      <c r="N541" s="222"/>
    </row>
    <row r="542" spans="1:14" ht="12.75" customHeight="1" x14ac:dyDescent="0.25">
      <c r="A542" s="222"/>
      <c r="B542" s="222"/>
      <c r="C542" s="216"/>
      <c r="D542" s="216"/>
      <c r="E542" s="216"/>
      <c r="F542" s="216"/>
      <c r="G542" s="216"/>
      <c r="H542" s="216"/>
      <c r="L542" s="216"/>
      <c r="N542" s="222"/>
    </row>
    <row r="543" spans="1:14" ht="12.75" customHeight="1" x14ac:dyDescent="0.25">
      <c r="A543" s="222"/>
      <c r="B543" s="222"/>
      <c r="C543" s="216"/>
      <c r="D543" s="216"/>
      <c r="E543" s="216"/>
      <c r="F543" s="216"/>
      <c r="G543" s="216"/>
      <c r="H543" s="216"/>
      <c r="L543" s="216"/>
      <c r="N543" s="222"/>
    </row>
    <row r="544" spans="1:14" ht="12.75" customHeight="1" x14ac:dyDescent="0.25">
      <c r="A544" s="222"/>
      <c r="B544" s="222"/>
      <c r="C544" s="216"/>
      <c r="D544" s="216"/>
      <c r="E544" s="216"/>
      <c r="F544" s="216"/>
      <c r="G544" s="216"/>
      <c r="H544" s="216"/>
      <c r="L544" s="216"/>
      <c r="N544" s="222"/>
    </row>
    <row r="545" spans="1:14" ht="12.75" customHeight="1" x14ac:dyDescent="0.25">
      <c r="A545" s="222"/>
      <c r="B545" s="222"/>
      <c r="C545" s="216"/>
      <c r="D545" s="216"/>
      <c r="E545" s="216"/>
      <c r="F545" s="216"/>
      <c r="G545" s="216"/>
      <c r="H545" s="216"/>
      <c r="L545" s="216"/>
      <c r="N545" s="222"/>
    </row>
    <row r="546" spans="1:14" ht="12.75" customHeight="1" x14ac:dyDescent="0.25">
      <c r="A546" s="222"/>
      <c r="B546" s="222"/>
      <c r="C546" s="216"/>
      <c r="D546" s="216"/>
      <c r="E546" s="216"/>
      <c r="F546" s="216"/>
      <c r="G546" s="216"/>
      <c r="H546" s="216"/>
      <c r="L546" s="216"/>
      <c r="N546" s="222"/>
    </row>
    <row r="547" spans="1:14" ht="12.75" customHeight="1" x14ac:dyDescent="0.25">
      <c r="A547" s="222"/>
      <c r="B547" s="222"/>
      <c r="C547" s="216"/>
      <c r="D547" s="216"/>
      <c r="E547" s="216"/>
      <c r="F547" s="216"/>
      <c r="G547" s="216"/>
      <c r="H547" s="216"/>
      <c r="L547" s="216"/>
      <c r="N547" s="222"/>
    </row>
    <row r="548" spans="1:14" ht="12.75" customHeight="1" x14ac:dyDescent="0.25">
      <c r="A548" s="222"/>
      <c r="B548" s="222"/>
      <c r="C548" s="216"/>
      <c r="D548" s="216"/>
      <c r="E548" s="216"/>
      <c r="F548" s="216"/>
      <c r="G548" s="216"/>
      <c r="H548" s="216"/>
      <c r="L548" s="216"/>
      <c r="N548" s="222"/>
    </row>
    <row r="549" spans="1:14" ht="12.75" customHeight="1" x14ac:dyDescent="0.25">
      <c r="A549" s="222"/>
      <c r="B549" s="222"/>
      <c r="C549" s="216"/>
      <c r="D549" s="216"/>
      <c r="E549" s="216"/>
      <c r="F549" s="216"/>
      <c r="G549" s="216"/>
      <c r="H549" s="216"/>
      <c r="L549" s="216"/>
      <c r="N549" s="222"/>
    </row>
    <row r="550" spans="1:14" ht="12.75" customHeight="1" x14ac:dyDescent="0.25">
      <c r="A550" s="222"/>
      <c r="B550" s="222"/>
      <c r="C550" s="216"/>
      <c r="D550" s="216"/>
      <c r="E550" s="216"/>
      <c r="F550" s="216"/>
      <c r="G550" s="216"/>
      <c r="H550" s="216"/>
      <c r="L550" s="216"/>
      <c r="N550" s="222"/>
    </row>
    <row r="551" spans="1:14" ht="12.75" customHeight="1" x14ac:dyDescent="0.25">
      <c r="A551" s="222"/>
      <c r="B551" s="222"/>
      <c r="C551" s="216"/>
      <c r="D551" s="216"/>
      <c r="E551" s="216"/>
      <c r="F551" s="216"/>
      <c r="G551" s="216"/>
      <c r="H551" s="216"/>
      <c r="L551" s="216"/>
      <c r="N551" s="222"/>
    </row>
    <row r="552" spans="1:14" ht="12.75" customHeight="1" x14ac:dyDescent="0.25">
      <c r="A552" s="222"/>
      <c r="B552" s="222"/>
      <c r="C552" s="216"/>
      <c r="D552" s="216"/>
      <c r="E552" s="216"/>
      <c r="F552" s="216"/>
      <c r="G552" s="216"/>
      <c r="H552" s="216"/>
      <c r="L552" s="216"/>
      <c r="N552" s="222"/>
    </row>
    <row r="553" spans="1:14" ht="12.75" customHeight="1" x14ac:dyDescent="0.25">
      <c r="A553" s="222"/>
      <c r="B553" s="222"/>
      <c r="C553" s="216"/>
      <c r="D553" s="216"/>
      <c r="E553" s="216"/>
      <c r="F553" s="216"/>
      <c r="G553" s="216"/>
      <c r="H553" s="216"/>
      <c r="L553" s="216"/>
      <c r="N553" s="222"/>
    </row>
    <row r="554" spans="1:14" ht="12.75" customHeight="1" x14ac:dyDescent="0.25">
      <c r="A554" s="222"/>
      <c r="B554" s="222"/>
      <c r="C554" s="216"/>
      <c r="D554" s="216"/>
      <c r="E554" s="216"/>
      <c r="F554" s="216"/>
      <c r="G554" s="216"/>
      <c r="H554" s="216"/>
      <c r="L554" s="216"/>
      <c r="N554" s="222"/>
    </row>
    <row r="555" spans="1:14" ht="12.75" customHeight="1" x14ac:dyDescent="0.25">
      <c r="A555" s="222"/>
      <c r="B555" s="222"/>
      <c r="C555" s="216"/>
      <c r="D555" s="216"/>
      <c r="E555" s="216"/>
      <c r="F555" s="216"/>
      <c r="G555" s="216"/>
      <c r="H555" s="216"/>
      <c r="L555" s="216"/>
      <c r="N555" s="222"/>
    </row>
    <row r="556" spans="1:14" ht="12.75" customHeight="1" x14ac:dyDescent="0.25">
      <c r="A556" s="222"/>
      <c r="B556" s="222"/>
      <c r="C556" s="216"/>
      <c r="D556" s="216"/>
      <c r="E556" s="216"/>
      <c r="F556" s="216"/>
      <c r="G556" s="216"/>
      <c r="H556" s="216"/>
      <c r="L556" s="216"/>
      <c r="N556" s="222"/>
    </row>
    <row r="557" spans="1:14" ht="12.75" customHeight="1" x14ac:dyDescent="0.25">
      <c r="A557" s="222"/>
      <c r="B557" s="222"/>
      <c r="C557" s="216"/>
      <c r="D557" s="216"/>
      <c r="E557" s="216"/>
      <c r="F557" s="216"/>
      <c r="G557" s="216"/>
      <c r="H557" s="216"/>
      <c r="L557" s="216"/>
      <c r="N557" s="222"/>
    </row>
    <row r="558" spans="1:14" ht="12.75" customHeight="1" x14ac:dyDescent="0.25">
      <c r="A558" s="222"/>
      <c r="B558" s="222"/>
      <c r="C558" s="216"/>
      <c r="D558" s="216"/>
      <c r="E558" s="216"/>
      <c r="F558" s="216"/>
      <c r="G558" s="216"/>
      <c r="H558" s="216"/>
      <c r="L558" s="216"/>
      <c r="N558" s="222"/>
    </row>
    <row r="559" spans="1:14" ht="12.75" customHeight="1" x14ac:dyDescent="0.25">
      <c r="A559" s="222"/>
      <c r="B559" s="222"/>
      <c r="C559" s="216"/>
      <c r="D559" s="216"/>
      <c r="E559" s="216"/>
      <c r="F559" s="216"/>
      <c r="G559" s="216"/>
      <c r="H559" s="216"/>
      <c r="L559" s="216"/>
      <c r="N559" s="222"/>
    </row>
    <row r="560" spans="1:14" ht="12.75" customHeight="1" x14ac:dyDescent="0.25">
      <c r="A560" s="222"/>
      <c r="B560" s="222"/>
      <c r="C560" s="216"/>
      <c r="D560" s="216"/>
      <c r="E560" s="216"/>
      <c r="F560" s="216"/>
      <c r="G560" s="216"/>
      <c r="H560" s="216"/>
      <c r="L560" s="216"/>
      <c r="N560" s="222"/>
    </row>
    <row r="561" spans="1:14" ht="12.75" customHeight="1" x14ac:dyDescent="0.25">
      <c r="A561" s="222"/>
      <c r="B561" s="222"/>
      <c r="C561" s="216"/>
      <c r="D561" s="216"/>
      <c r="E561" s="216"/>
      <c r="F561" s="216"/>
      <c r="G561" s="216"/>
      <c r="H561" s="216"/>
      <c r="L561" s="216"/>
      <c r="N561" s="222"/>
    </row>
    <row r="562" spans="1:14" ht="12.75" customHeight="1" x14ac:dyDescent="0.25">
      <c r="A562" s="222"/>
      <c r="B562" s="222"/>
      <c r="C562" s="216"/>
      <c r="D562" s="216"/>
      <c r="E562" s="216"/>
      <c r="F562" s="216"/>
      <c r="G562" s="216"/>
      <c r="H562" s="216"/>
      <c r="L562" s="216"/>
      <c r="N562" s="222"/>
    </row>
    <row r="563" spans="1:14" ht="12.75" customHeight="1" x14ac:dyDescent="0.25">
      <c r="A563" s="222"/>
      <c r="B563" s="222"/>
      <c r="C563" s="216"/>
      <c r="D563" s="216"/>
      <c r="E563" s="216"/>
      <c r="F563" s="216"/>
      <c r="G563" s="216"/>
      <c r="H563" s="216"/>
      <c r="L563" s="216"/>
      <c r="N563" s="222"/>
    </row>
    <row r="564" spans="1:14" ht="12.75" customHeight="1" x14ac:dyDescent="0.25">
      <c r="A564" s="222"/>
      <c r="B564" s="222"/>
      <c r="C564" s="216"/>
      <c r="D564" s="216"/>
      <c r="E564" s="216"/>
      <c r="F564" s="216"/>
      <c r="G564" s="216"/>
      <c r="H564" s="216"/>
      <c r="L564" s="216"/>
      <c r="N564" s="222"/>
    </row>
    <row r="565" spans="1:14" ht="12.75" customHeight="1" x14ac:dyDescent="0.25">
      <c r="A565" s="222"/>
      <c r="B565" s="222"/>
      <c r="C565" s="216"/>
      <c r="D565" s="216"/>
      <c r="E565" s="216"/>
      <c r="F565" s="216"/>
      <c r="G565" s="216"/>
      <c r="H565" s="216"/>
      <c r="L565" s="216"/>
      <c r="N565" s="222"/>
    </row>
    <row r="566" spans="1:14" ht="12.75" customHeight="1" x14ac:dyDescent="0.25">
      <c r="A566" s="222"/>
      <c r="B566" s="222"/>
      <c r="C566" s="216"/>
      <c r="D566" s="216"/>
      <c r="E566" s="216"/>
      <c r="F566" s="216"/>
      <c r="G566" s="216"/>
      <c r="H566" s="216"/>
      <c r="L566" s="216"/>
      <c r="N566" s="222"/>
    </row>
    <row r="567" spans="1:14" ht="12.75" customHeight="1" x14ac:dyDescent="0.25">
      <c r="A567" s="222"/>
      <c r="B567" s="222"/>
      <c r="C567" s="216"/>
      <c r="D567" s="216"/>
      <c r="E567" s="216"/>
      <c r="F567" s="216"/>
      <c r="G567" s="216"/>
      <c r="H567" s="216"/>
      <c r="L567" s="216"/>
      <c r="N567" s="222"/>
    </row>
    <row r="568" spans="1:14" ht="12.75" customHeight="1" x14ac:dyDescent="0.25">
      <c r="A568" s="222"/>
      <c r="B568" s="222"/>
      <c r="C568" s="216"/>
      <c r="D568" s="216"/>
      <c r="E568" s="216"/>
      <c r="F568" s="216"/>
      <c r="G568" s="216"/>
      <c r="H568" s="216"/>
      <c r="L568" s="216"/>
      <c r="N568" s="222"/>
    </row>
    <row r="569" spans="1:14" ht="12.75" customHeight="1" x14ac:dyDescent="0.25">
      <c r="A569" s="222"/>
      <c r="B569" s="222"/>
      <c r="C569" s="216"/>
      <c r="D569" s="216"/>
      <c r="E569" s="216"/>
      <c r="F569" s="216"/>
      <c r="G569" s="216"/>
      <c r="H569" s="216"/>
      <c r="L569" s="216"/>
      <c r="N569" s="222"/>
    </row>
    <row r="570" spans="1:14" ht="12.75" customHeight="1" x14ac:dyDescent="0.25">
      <c r="A570" s="222"/>
      <c r="B570" s="222"/>
      <c r="C570" s="216"/>
      <c r="D570" s="216"/>
      <c r="E570" s="216"/>
      <c r="F570" s="216"/>
      <c r="G570" s="216"/>
      <c r="H570" s="216"/>
      <c r="L570" s="216"/>
      <c r="N570" s="222"/>
    </row>
    <row r="571" spans="1:14" ht="12.75" customHeight="1" x14ac:dyDescent="0.25">
      <c r="A571" s="222"/>
      <c r="B571" s="222"/>
      <c r="C571" s="216"/>
      <c r="D571" s="216"/>
      <c r="E571" s="216"/>
      <c r="F571" s="216"/>
      <c r="G571" s="216"/>
      <c r="H571" s="216"/>
      <c r="L571" s="216"/>
      <c r="N571" s="222"/>
    </row>
    <row r="572" spans="1:14" ht="12.75" customHeight="1" x14ac:dyDescent="0.25">
      <c r="A572" s="222"/>
      <c r="B572" s="222"/>
      <c r="C572" s="216"/>
      <c r="D572" s="216"/>
      <c r="E572" s="216"/>
      <c r="F572" s="216"/>
      <c r="G572" s="216"/>
      <c r="H572" s="216"/>
      <c r="L572" s="216"/>
      <c r="N572" s="222"/>
    </row>
    <row r="573" spans="1:14" ht="12.75" customHeight="1" x14ac:dyDescent="0.25">
      <c r="A573" s="222"/>
      <c r="B573" s="222"/>
      <c r="C573" s="216"/>
      <c r="D573" s="216"/>
      <c r="E573" s="216"/>
      <c r="F573" s="216"/>
      <c r="G573" s="216"/>
      <c r="H573" s="216"/>
      <c r="L573" s="216"/>
      <c r="N573" s="222"/>
    </row>
    <row r="574" spans="1:14" ht="12.75" customHeight="1" x14ac:dyDescent="0.25">
      <c r="A574" s="222"/>
      <c r="B574" s="222"/>
      <c r="C574" s="216"/>
      <c r="D574" s="216"/>
      <c r="E574" s="216"/>
      <c r="F574" s="216"/>
      <c r="G574" s="216"/>
      <c r="H574" s="216"/>
      <c r="L574" s="216"/>
      <c r="N574" s="222"/>
    </row>
    <row r="575" spans="1:14" ht="12.75" customHeight="1" x14ac:dyDescent="0.25">
      <c r="A575" s="222"/>
      <c r="B575" s="222"/>
      <c r="C575" s="216"/>
      <c r="D575" s="216"/>
      <c r="E575" s="216"/>
      <c r="F575" s="216"/>
      <c r="G575" s="216"/>
      <c r="H575" s="216"/>
      <c r="L575" s="216"/>
      <c r="N575" s="222"/>
    </row>
    <row r="576" spans="1:14" ht="12.75" customHeight="1" x14ac:dyDescent="0.25">
      <c r="A576" s="222"/>
      <c r="B576" s="222"/>
      <c r="C576" s="216"/>
      <c r="D576" s="216"/>
      <c r="E576" s="216"/>
      <c r="F576" s="216"/>
      <c r="G576" s="216"/>
      <c r="H576" s="216"/>
      <c r="L576" s="216"/>
      <c r="N576" s="222"/>
    </row>
    <row r="577" spans="1:14" ht="12.75" customHeight="1" x14ac:dyDescent="0.25">
      <c r="A577" s="222"/>
      <c r="B577" s="222"/>
      <c r="C577" s="216"/>
      <c r="D577" s="216"/>
      <c r="E577" s="216"/>
      <c r="F577" s="216"/>
      <c r="G577" s="216"/>
      <c r="H577" s="216"/>
      <c r="L577" s="216"/>
      <c r="N577" s="222"/>
    </row>
    <row r="578" spans="1:14" ht="12.75" customHeight="1" x14ac:dyDescent="0.25">
      <c r="A578" s="222"/>
      <c r="B578" s="222"/>
      <c r="C578" s="216"/>
      <c r="D578" s="216"/>
      <c r="E578" s="216"/>
      <c r="F578" s="216"/>
      <c r="G578" s="216"/>
      <c r="H578" s="216"/>
      <c r="L578" s="216"/>
      <c r="N578" s="222"/>
    </row>
    <row r="579" spans="1:14" ht="12.75" customHeight="1" x14ac:dyDescent="0.25">
      <c r="A579" s="222"/>
      <c r="B579" s="222"/>
      <c r="C579" s="216"/>
      <c r="D579" s="216"/>
      <c r="E579" s="216"/>
      <c r="F579" s="216"/>
      <c r="G579" s="216"/>
      <c r="H579" s="216"/>
      <c r="L579" s="216"/>
      <c r="N579" s="222"/>
    </row>
    <row r="580" spans="1:14" ht="12.75" customHeight="1" x14ac:dyDescent="0.25">
      <c r="A580" s="222"/>
      <c r="B580" s="222"/>
      <c r="C580" s="216"/>
      <c r="D580" s="216"/>
      <c r="E580" s="216"/>
      <c r="F580" s="216"/>
      <c r="G580" s="216"/>
      <c r="H580" s="216"/>
      <c r="L580" s="216"/>
      <c r="N580" s="222"/>
    </row>
    <row r="581" spans="1:14" ht="12.75" customHeight="1" x14ac:dyDescent="0.25">
      <c r="A581" s="222"/>
      <c r="B581" s="222"/>
      <c r="C581" s="216"/>
      <c r="D581" s="216"/>
      <c r="E581" s="216"/>
      <c r="F581" s="216"/>
      <c r="G581" s="216"/>
      <c r="H581" s="216"/>
      <c r="L581" s="216"/>
      <c r="N581" s="222"/>
    </row>
    <row r="582" spans="1:14" ht="12.75" customHeight="1" x14ac:dyDescent="0.25">
      <c r="A582" s="222"/>
      <c r="B582" s="222"/>
      <c r="C582" s="216"/>
      <c r="D582" s="216"/>
      <c r="E582" s="216"/>
      <c r="F582" s="216"/>
      <c r="G582" s="216"/>
      <c r="H582" s="216"/>
      <c r="L582" s="216"/>
      <c r="N582" s="222"/>
    </row>
    <row r="583" spans="1:14" ht="12.75" customHeight="1" x14ac:dyDescent="0.25">
      <c r="A583" s="222"/>
      <c r="B583" s="222"/>
      <c r="C583" s="216"/>
      <c r="D583" s="216"/>
      <c r="E583" s="216"/>
      <c r="F583" s="216"/>
      <c r="G583" s="216"/>
      <c r="H583" s="216"/>
      <c r="L583" s="216"/>
      <c r="N583" s="222"/>
    </row>
    <row r="584" spans="1:14" ht="12.75" customHeight="1" x14ac:dyDescent="0.25">
      <c r="A584" s="222"/>
      <c r="B584" s="222"/>
      <c r="C584" s="216"/>
      <c r="D584" s="216"/>
      <c r="E584" s="216"/>
      <c r="F584" s="216"/>
      <c r="G584" s="216"/>
      <c r="H584" s="216"/>
      <c r="L584" s="216"/>
      <c r="N584" s="222"/>
    </row>
    <row r="585" spans="1:14" ht="12.75" customHeight="1" x14ac:dyDescent="0.25">
      <c r="A585" s="222"/>
      <c r="B585" s="222"/>
      <c r="C585" s="216"/>
      <c r="D585" s="216"/>
      <c r="E585" s="216"/>
      <c r="F585" s="216"/>
      <c r="G585" s="216"/>
      <c r="H585" s="216"/>
      <c r="L585" s="216"/>
      <c r="N585" s="222"/>
    </row>
    <row r="586" spans="1:14" ht="12.75" customHeight="1" x14ac:dyDescent="0.25">
      <c r="A586" s="222"/>
      <c r="B586" s="222"/>
      <c r="C586" s="216"/>
      <c r="D586" s="216"/>
      <c r="E586" s="216"/>
      <c r="F586" s="216"/>
      <c r="G586" s="216"/>
      <c r="H586" s="216"/>
      <c r="L586" s="216"/>
      <c r="N586" s="222"/>
    </row>
    <row r="587" spans="1:14" ht="12.75" customHeight="1" x14ac:dyDescent="0.25">
      <c r="A587" s="222"/>
      <c r="B587" s="222"/>
      <c r="C587" s="216"/>
      <c r="D587" s="216"/>
      <c r="E587" s="216"/>
      <c r="F587" s="216"/>
      <c r="G587" s="216"/>
      <c r="H587" s="216"/>
      <c r="L587" s="216"/>
      <c r="N587" s="222"/>
    </row>
    <row r="588" spans="1:14" ht="12.75" customHeight="1" x14ac:dyDescent="0.25">
      <c r="A588" s="222"/>
      <c r="B588" s="222"/>
      <c r="C588" s="216"/>
      <c r="D588" s="216"/>
      <c r="E588" s="216"/>
      <c r="F588" s="216"/>
      <c r="G588" s="216"/>
      <c r="H588" s="216"/>
      <c r="L588" s="216"/>
      <c r="N588" s="222"/>
    </row>
    <row r="589" spans="1:14" ht="12.75" customHeight="1" x14ac:dyDescent="0.25">
      <c r="A589" s="222"/>
      <c r="B589" s="222"/>
      <c r="C589" s="216"/>
      <c r="D589" s="216"/>
      <c r="E589" s="216"/>
      <c r="F589" s="216"/>
      <c r="G589" s="216"/>
      <c r="H589" s="216"/>
      <c r="L589" s="216"/>
      <c r="N589" s="222"/>
    </row>
    <row r="590" spans="1:14" ht="12.75" customHeight="1" x14ac:dyDescent="0.25">
      <c r="A590" s="222"/>
      <c r="B590" s="222"/>
      <c r="C590" s="216"/>
      <c r="D590" s="216"/>
      <c r="E590" s="216"/>
      <c r="F590" s="216"/>
      <c r="G590" s="216"/>
      <c r="H590" s="216"/>
      <c r="L590" s="216"/>
      <c r="N590" s="222"/>
    </row>
    <row r="591" spans="1:14" ht="12.75" customHeight="1" x14ac:dyDescent="0.25">
      <c r="A591" s="222"/>
      <c r="B591" s="222"/>
      <c r="C591" s="216"/>
      <c r="D591" s="216"/>
      <c r="E591" s="216"/>
      <c r="F591" s="216"/>
      <c r="G591" s="216"/>
      <c r="H591" s="216"/>
      <c r="L591" s="216"/>
      <c r="N591" s="222"/>
    </row>
    <row r="592" spans="1:14" ht="12.75" customHeight="1" x14ac:dyDescent="0.25">
      <c r="A592" s="222"/>
      <c r="B592" s="222"/>
      <c r="C592" s="216"/>
      <c r="D592" s="216"/>
      <c r="E592" s="216"/>
      <c r="F592" s="216"/>
      <c r="G592" s="216"/>
      <c r="H592" s="216"/>
      <c r="L592" s="216"/>
      <c r="N592" s="222"/>
    </row>
    <row r="593" spans="1:14" ht="12.75" customHeight="1" x14ac:dyDescent="0.25">
      <c r="A593" s="222"/>
      <c r="B593" s="222"/>
      <c r="C593" s="216"/>
      <c r="D593" s="216"/>
      <c r="E593" s="216"/>
      <c r="F593" s="216"/>
      <c r="G593" s="216"/>
      <c r="H593" s="216"/>
      <c r="L593" s="216"/>
      <c r="N593" s="222"/>
    </row>
    <row r="594" spans="1:14" ht="12.75" customHeight="1" x14ac:dyDescent="0.25">
      <c r="A594" s="222"/>
      <c r="B594" s="222"/>
      <c r="C594" s="216"/>
      <c r="D594" s="216"/>
      <c r="E594" s="216"/>
      <c r="F594" s="216"/>
      <c r="G594" s="216"/>
      <c r="H594" s="216"/>
      <c r="L594" s="216"/>
      <c r="N594" s="222"/>
    </row>
    <row r="595" spans="1:14" ht="12.75" customHeight="1" x14ac:dyDescent="0.25">
      <c r="A595" s="222"/>
      <c r="B595" s="222"/>
      <c r="C595" s="216"/>
      <c r="D595" s="216"/>
      <c r="E595" s="216"/>
      <c r="F595" s="216"/>
      <c r="G595" s="216"/>
      <c r="H595" s="216"/>
      <c r="L595" s="216"/>
      <c r="N595" s="222"/>
    </row>
    <row r="596" spans="1:14" ht="12.75" customHeight="1" x14ac:dyDescent="0.25">
      <c r="A596" s="222"/>
      <c r="B596" s="222"/>
      <c r="C596" s="216"/>
      <c r="D596" s="216"/>
      <c r="E596" s="216"/>
      <c r="F596" s="216"/>
      <c r="G596" s="216"/>
      <c r="H596" s="216"/>
      <c r="L596" s="216"/>
      <c r="N596" s="222"/>
    </row>
    <row r="597" spans="1:14" ht="12.75" customHeight="1" x14ac:dyDescent="0.25">
      <c r="A597" s="222"/>
      <c r="B597" s="222"/>
      <c r="C597" s="216"/>
      <c r="D597" s="216"/>
      <c r="E597" s="216"/>
      <c r="F597" s="216"/>
      <c r="G597" s="216"/>
      <c r="H597" s="216"/>
      <c r="L597" s="216"/>
      <c r="N597" s="222"/>
    </row>
    <row r="598" spans="1:14" ht="12.75" customHeight="1" x14ac:dyDescent="0.25">
      <c r="A598" s="222"/>
      <c r="B598" s="222"/>
      <c r="C598" s="216"/>
      <c r="D598" s="216"/>
      <c r="E598" s="216"/>
      <c r="F598" s="216"/>
      <c r="G598" s="216"/>
      <c r="H598" s="216"/>
      <c r="L598" s="216"/>
      <c r="N598" s="222"/>
    </row>
    <row r="599" spans="1:14" ht="12.75" customHeight="1" x14ac:dyDescent="0.25">
      <c r="A599" s="222"/>
      <c r="B599" s="222"/>
      <c r="C599" s="216"/>
      <c r="D599" s="216"/>
      <c r="E599" s="216"/>
      <c r="F599" s="216"/>
      <c r="G599" s="216"/>
      <c r="H599" s="216"/>
      <c r="L599" s="216"/>
      <c r="N599" s="222"/>
    </row>
    <row r="600" spans="1:14" ht="12.75" customHeight="1" x14ac:dyDescent="0.25">
      <c r="A600" s="222"/>
      <c r="B600" s="222"/>
      <c r="C600" s="216"/>
      <c r="D600" s="216"/>
      <c r="E600" s="216"/>
      <c r="F600" s="216"/>
      <c r="G600" s="216"/>
      <c r="H600" s="216"/>
      <c r="L600" s="216"/>
      <c r="N600" s="222"/>
    </row>
    <row r="601" spans="1:14" ht="12.75" customHeight="1" x14ac:dyDescent="0.25">
      <c r="A601" s="222"/>
      <c r="B601" s="222"/>
      <c r="C601" s="216"/>
      <c r="D601" s="216"/>
      <c r="E601" s="216"/>
      <c r="F601" s="216"/>
      <c r="G601" s="216"/>
      <c r="H601" s="216"/>
      <c r="L601" s="216"/>
      <c r="N601" s="222"/>
    </row>
    <row r="602" spans="1:14" ht="12.75" customHeight="1" x14ac:dyDescent="0.25">
      <c r="A602" s="222"/>
      <c r="B602" s="222"/>
      <c r="C602" s="216"/>
      <c r="D602" s="216"/>
      <c r="E602" s="216"/>
      <c r="F602" s="216"/>
      <c r="G602" s="216"/>
      <c r="H602" s="216"/>
      <c r="L602" s="216"/>
      <c r="N602" s="222"/>
    </row>
    <row r="603" spans="1:14" ht="12.75" customHeight="1" x14ac:dyDescent="0.25">
      <c r="A603" s="222"/>
      <c r="B603" s="222"/>
      <c r="C603" s="216"/>
      <c r="D603" s="216"/>
      <c r="E603" s="216"/>
      <c r="F603" s="216"/>
      <c r="G603" s="216"/>
      <c r="H603" s="216"/>
      <c r="L603" s="216"/>
      <c r="N603" s="222"/>
    </row>
    <row r="604" spans="1:14" ht="12.75" customHeight="1" x14ac:dyDescent="0.25">
      <c r="A604" s="222"/>
      <c r="B604" s="222"/>
      <c r="C604" s="216"/>
      <c r="D604" s="216"/>
      <c r="E604" s="216"/>
      <c r="F604" s="216"/>
      <c r="G604" s="216"/>
      <c r="H604" s="216"/>
      <c r="L604" s="216"/>
      <c r="N604" s="222"/>
    </row>
    <row r="605" spans="1:14" ht="12.75" customHeight="1" x14ac:dyDescent="0.25">
      <c r="A605" s="222"/>
      <c r="B605" s="222"/>
      <c r="C605" s="216"/>
      <c r="D605" s="216"/>
      <c r="E605" s="216"/>
      <c r="F605" s="216"/>
      <c r="G605" s="216"/>
      <c r="H605" s="216"/>
      <c r="L605" s="216"/>
      <c r="N605" s="222"/>
    </row>
    <row r="606" spans="1:14" ht="12.75" customHeight="1" x14ac:dyDescent="0.25">
      <c r="A606" s="222"/>
      <c r="B606" s="222"/>
      <c r="C606" s="216"/>
      <c r="D606" s="216"/>
      <c r="E606" s="216"/>
      <c r="F606" s="216"/>
      <c r="G606" s="216"/>
      <c r="H606" s="216"/>
      <c r="L606" s="216"/>
      <c r="N606" s="222"/>
    </row>
    <row r="607" spans="1:14" ht="12.75" customHeight="1" x14ac:dyDescent="0.25">
      <c r="A607" s="222"/>
      <c r="B607" s="222"/>
      <c r="C607" s="216"/>
      <c r="D607" s="216"/>
      <c r="E607" s="216"/>
      <c r="F607" s="216"/>
      <c r="G607" s="216"/>
      <c r="H607" s="216"/>
      <c r="L607" s="216"/>
      <c r="N607" s="222"/>
    </row>
    <row r="608" spans="1:14" ht="12.75" customHeight="1" x14ac:dyDescent="0.25">
      <c r="A608" s="222"/>
      <c r="B608" s="222"/>
      <c r="C608" s="216"/>
      <c r="D608" s="216"/>
      <c r="E608" s="216"/>
      <c r="F608" s="216"/>
      <c r="G608" s="216"/>
      <c r="H608" s="216"/>
      <c r="L608" s="216"/>
      <c r="N608" s="222"/>
    </row>
    <row r="609" spans="1:14" ht="12.75" customHeight="1" x14ac:dyDescent="0.25">
      <c r="A609" s="222"/>
      <c r="B609" s="222"/>
      <c r="C609" s="216"/>
      <c r="D609" s="216"/>
      <c r="E609" s="216"/>
      <c r="F609" s="216"/>
      <c r="G609" s="216"/>
      <c r="H609" s="216"/>
      <c r="L609" s="216"/>
      <c r="N609" s="222"/>
    </row>
    <row r="610" spans="1:14" ht="12.75" customHeight="1" x14ac:dyDescent="0.25">
      <c r="A610" s="222"/>
      <c r="B610" s="222"/>
      <c r="C610" s="216"/>
      <c r="D610" s="216"/>
      <c r="E610" s="216"/>
      <c r="F610" s="216"/>
      <c r="G610" s="216"/>
      <c r="H610" s="216"/>
      <c r="L610" s="216"/>
      <c r="N610" s="222"/>
    </row>
    <row r="611" spans="1:14" ht="12.75" customHeight="1" x14ac:dyDescent="0.25">
      <c r="A611" s="222"/>
      <c r="B611" s="222"/>
      <c r="C611" s="216"/>
      <c r="D611" s="216"/>
      <c r="E611" s="216"/>
      <c r="F611" s="216"/>
      <c r="G611" s="216"/>
      <c r="H611" s="216"/>
      <c r="L611" s="216"/>
      <c r="N611" s="222"/>
    </row>
    <row r="612" spans="1:14" ht="12.75" customHeight="1" x14ac:dyDescent="0.25">
      <c r="A612" s="222"/>
      <c r="B612" s="222"/>
      <c r="C612" s="216"/>
      <c r="D612" s="216"/>
      <c r="E612" s="216"/>
      <c r="F612" s="216"/>
      <c r="G612" s="216"/>
      <c r="H612" s="216"/>
      <c r="L612" s="216"/>
      <c r="N612" s="222"/>
    </row>
    <row r="613" spans="1:14" ht="12.75" customHeight="1" x14ac:dyDescent="0.25">
      <c r="A613" s="222"/>
      <c r="B613" s="222"/>
      <c r="C613" s="216"/>
      <c r="D613" s="216"/>
      <c r="E613" s="216"/>
      <c r="F613" s="216"/>
      <c r="G613" s="216"/>
      <c r="H613" s="216"/>
      <c r="L613" s="216"/>
      <c r="N613" s="222"/>
    </row>
    <row r="614" spans="1:14" ht="12.75" customHeight="1" x14ac:dyDescent="0.25">
      <c r="A614" s="222"/>
      <c r="B614" s="222"/>
      <c r="C614" s="216"/>
      <c r="D614" s="216"/>
      <c r="E614" s="216"/>
      <c r="F614" s="216"/>
      <c r="G614" s="216"/>
      <c r="H614" s="216"/>
      <c r="L614" s="216"/>
      <c r="N614" s="222"/>
    </row>
    <row r="615" spans="1:14" ht="12.75" customHeight="1" x14ac:dyDescent="0.25">
      <c r="A615" s="222"/>
      <c r="B615" s="222"/>
      <c r="C615" s="216"/>
      <c r="D615" s="216"/>
      <c r="E615" s="216"/>
      <c r="F615" s="216"/>
      <c r="G615" s="216"/>
      <c r="H615" s="216"/>
      <c r="L615" s="216"/>
      <c r="N615" s="222"/>
    </row>
    <row r="616" spans="1:14" ht="12.75" customHeight="1" x14ac:dyDescent="0.25">
      <c r="A616" s="222"/>
      <c r="B616" s="222"/>
      <c r="C616" s="216"/>
      <c r="D616" s="216"/>
      <c r="E616" s="216"/>
      <c r="F616" s="216"/>
      <c r="G616" s="216"/>
      <c r="H616" s="216"/>
      <c r="L616" s="216"/>
      <c r="N616" s="222"/>
    </row>
    <row r="617" spans="1:14" ht="12.75" customHeight="1" x14ac:dyDescent="0.25">
      <c r="A617" s="222"/>
      <c r="B617" s="222"/>
      <c r="C617" s="216"/>
      <c r="D617" s="216"/>
      <c r="E617" s="216"/>
      <c r="F617" s="216"/>
      <c r="G617" s="216"/>
      <c r="H617" s="216"/>
      <c r="L617" s="216"/>
      <c r="N617" s="222"/>
    </row>
    <row r="618" spans="1:14" ht="12.75" customHeight="1" x14ac:dyDescent="0.25">
      <c r="A618" s="222"/>
      <c r="B618" s="222"/>
      <c r="C618" s="216"/>
      <c r="D618" s="216"/>
      <c r="E618" s="216"/>
      <c r="F618" s="216"/>
      <c r="G618" s="216"/>
      <c r="H618" s="216"/>
      <c r="L618" s="216"/>
      <c r="N618" s="222"/>
    </row>
    <row r="619" spans="1:14" ht="12.75" customHeight="1" x14ac:dyDescent="0.25">
      <c r="A619" s="222"/>
      <c r="B619" s="222"/>
      <c r="C619" s="216"/>
      <c r="D619" s="216"/>
      <c r="E619" s="216"/>
      <c r="F619" s="216"/>
      <c r="G619" s="216"/>
      <c r="H619" s="216"/>
      <c r="L619" s="216"/>
      <c r="N619" s="222"/>
    </row>
    <row r="620" spans="1:14" ht="12.75" customHeight="1" x14ac:dyDescent="0.25">
      <c r="A620" s="222"/>
      <c r="B620" s="222"/>
      <c r="C620" s="216"/>
      <c r="D620" s="216"/>
      <c r="E620" s="216"/>
      <c r="F620" s="216"/>
      <c r="G620" s="216"/>
      <c r="H620" s="216"/>
      <c r="L620" s="216"/>
      <c r="N620" s="222"/>
    </row>
    <row r="621" spans="1:14" ht="12.75" customHeight="1" x14ac:dyDescent="0.25">
      <c r="A621" s="222"/>
      <c r="B621" s="222"/>
      <c r="C621" s="216"/>
      <c r="D621" s="216"/>
      <c r="E621" s="216"/>
      <c r="F621" s="216"/>
      <c r="G621" s="216"/>
      <c r="H621" s="216"/>
      <c r="L621" s="216"/>
      <c r="N621" s="222"/>
    </row>
    <row r="622" spans="1:14" ht="12.75" customHeight="1" x14ac:dyDescent="0.25">
      <c r="A622" s="222"/>
      <c r="B622" s="222"/>
      <c r="C622" s="216"/>
      <c r="D622" s="216"/>
      <c r="E622" s="216"/>
      <c r="F622" s="216"/>
      <c r="G622" s="216"/>
      <c r="H622" s="216"/>
      <c r="L622" s="216"/>
      <c r="N622" s="222"/>
    </row>
    <row r="623" spans="1:14" ht="12.75" customHeight="1" x14ac:dyDescent="0.25">
      <c r="A623" s="222"/>
      <c r="B623" s="222"/>
      <c r="C623" s="216"/>
      <c r="D623" s="216"/>
      <c r="E623" s="216"/>
      <c r="F623" s="216"/>
      <c r="G623" s="216"/>
      <c r="H623" s="216"/>
      <c r="L623" s="216"/>
      <c r="N623" s="222"/>
    </row>
    <row r="624" spans="1:14" ht="12.75" customHeight="1" x14ac:dyDescent="0.25">
      <c r="A624" s="222"/>
      <c r="B624" s="222"/>
      <c r="C624" s="216"/>
      <c r="D624" s="216"/>
      <c r="E624" s="216"/>
      <c r="F624" s="216"/>
      <c r="G624" s="216"/>
      <c r="H624" s="216"/>
      <c r="L624" s="216"/>
      <c r="N624" s="222"/>
    </row>
    <row r="625" spans="1:14" ht="12.75" customHeight="1" x14ac:dyDescent="0.25">
      <c r="A625" s="222"/>
      <c r="B625" s="222"/>
      <c r="C625" s="216"/>
      <c r="D625" s="216"/>
      <c r="E625" s="216"/>
      <c r="F625" s="216"/>
      <c r="G625" s="216"/>
      <c r="H625" s="216"/>
      <c r="L625" s="216"/>
      <c r="N625" s="222"/>
    </row>
    <row r="626" spans="1:14" ht="12.75" customHeight="1" x14ac:dyDescent="0.25">
      <c r="A626" s="222"/>
      <c r="B626" s="222"/>
      <c r="C626" s="216"/>
      <c r="D626" s="216"/>
      <c r="E626" s="216"/>
      <c r="F626" s="216"/>
      <c r="G626" s="216"/>
      <c r="H626" s="216"/>
      <c r="L626" s="216"/>
      <c r="N626" s="222"/>
    </row>
    <row r="627" spans="1:14" ht="12.75" customHeight="1" x14ac:dyDescent="0.25">
      <c r="A627" s="222"/>
      <c r="B627" s="222"/>
      <c r="C627" s="216"/>
      <c r="D627" s="216"/>
      <c r="E627" s="216"/>
      <c r="F627" s="216"/>
      <c r="G627" s="216"/>
      <c r="H627" s="216"/>
      <c r="L627" s="216"/>
      <c r="N627" s="222"/>
    </row>
    <row r="628" spans="1:14" ht="12.75" customHeight="1" x14ac:dyDescent="0.25">
      <c r="A628" s="222"/>
      <c r="B628" s="222"/>
      <c r="C628" s="216"/>
      <c r="D628" s="216"/>
      <c r="E628" s="216"/>
      <c r="F628" s="216"/>
      <c r="G628" s="216"/>
      <c r="H628" s="216"/>
      <c r="L628" s="216"/>
      <c r="N628" s="222"/>
    </row>
    <row r="629" spans="1:14" ht="12.75" customHeight="1" x14ac:dyDescent="0.25">
      <c r="A629" s="222"/>
      <c r="B629" s="222"/>
      <c r="C629" s="216"/>
      <c r="D629" s="216"/>
      <c r="E629" s="216"/>
      <c r="F629" s="216"/>
      <c r="G629" s="216"/>
      <c r="H629" s="216"/>
      <c r="L629" s="216"/>
      <c r="N629" s="222"/>
    </row>
    <row r="630" spans="1:14" ht="12.75" customHeight="1" x14ac:dyDescent="0.25">
      <c r="A630" s="222"/>
      <c r="B630" s="222"/>
      <c r="C630" s="216"/>
      <c r="D630" s="216"/>
      <c r="E630" s="216"/>
      <c r="F630" s="216"/>
      <c r="G630" s="216"/>
      <c r="H630" s="216"/>
      <c r="L630" s="216"/>
      <c r="N630" s="222"/>
    </row>
    <row r="631" spans="1:14" ht="12.75" customHeight="1" x14ac:dyDescent="0.25">
      <c r="A631" s="222"/>
      <c r="B631" s="222"/>
      <c r="C631" s="216"/>
      <c r="D631" s="216"/>
      <c r="E631" s="216"/>
      <c r="F631" s="216"/>
      <c r="G631" s="216"/>
      <c r="H631" s="216"/>
      <c r="L631" s="216"/>
      <c r="N631" s="222"/>
    </row>
    <row r="632" spans="1:14" ht="12.75" customHeight="1" x14ac:dyDescent="0.25">
      <c r="A632" s="222"/>
      <c r="B632" s="222"/>
      <c r="C632" s="216"/>
      <c r="D632" s="216"/>
      <c r="E632" s="216"/>
      <c r="F632" s="216"/>
      <c r="G632" s="216"/>
      <c r="H632" s="216"/>
      <c r="L632" s="216"/>
      <c r="N632" s="222"/>
    </row>
    <row r="633" spans="1:14" ht="12.75" customHeight="1" x14ac:dyDescent="0.25">
      <c r="A633" s="222"/>
      <c r="B633" s="222"/>
      <c r="C633" s="216"/>
      <c r="D633" s="216"/>
      <c r="E633" s="216"/>
      <c r="F633" s="216"/>
      <c r="G633" s="216"/>
      <c r="H633" s="216"/>
      <c r="L633" s="216"/>
      <c r="N633" s="222"/>
    </row>
    <row r="634" spans="1:14" ht="12.75" customHeight="1" x14ac:dyDescent="0.25">
      <c r="A634" s="222"/>
      <c r="B634" s="222"/>
      <c r="C634" s="216"/>
      <c r="D634" s="216"/>
      <c r="E634" s="216"/>
      <c r="F634" s="216"/>
      <c r="G634" s="216"/>
      <c r="H634" s="216"/>
      <c r="L634" s="216"/>
      <c r="N634" s="222"/>
    </row>
    <row r="635" spans="1:14" ht="12.75" customHeight="1" x14ac:dyDescent="0.25">
      <c r="A635" s="222"/>
      <c r="B635" s="222"/>
      <c r="C635" s="216"/>
      <c r="D635" s="216"/>
      <c r="E635" s="216"/>
      <c r="F635" s="216"/>
      <c r="G635" s="216"/>
      <c r="H635" s="216"/>
      <c r="L635" s="216"/>
      <c r="N635" s="222"/>
    </row>
    <row r="636" spans="1:14" ht="12.75" customHeight="1" x14ac:dyDescent="0.25">
      <c r="A636" s="222"/>
      <c r="B636" s="222"/>
      <c r="C636" s="216"/>
      <c r="D636" s="216"/>
      <c r="E636" s="216"/>
      <c r="F636" s="216"/>
      <c r="G636" s="216"/>
      <c r="H636" s="216"/>
      <c r="L636" s="216"/>
      <c r="N636" s="222"/>
    </row>
    <row r="637" spans="1:14" ht="12.75" customHeight="1" x14ac:dyDescent="0.25">
      <c r="A637" s="222"/>
      <c r="B637" s="222"/>
      <c r="C637" s="216"/>
      <c r="D637" s="216"/>
      <c r="E637" s="216"/>
      <c r="F637" s="216"/>
      <c r="G637" s="216"/>
      <c r="H637" s="216"/>
      <c r="L637" s="216"/>
      <c r="N637" s="222"/>
    </row>
    <row r="638" spans="1:14" ht="12.75" customHeight="1" x14ac:dyDescent="0.25">
      <c r="A638" s="222"/>
      <c r="B638" s="222"/>
      <c r="C638" s="216"/>
      <c r="D638" s="216"/>
      <c r="E638" s="216"/>
      <c r="F638" s="216"/>
      <c r="G638" s="216"/>
      <c r="H638" s="216"/>
      <c r="L638" s="216"/>
      <c r="N638" s="222"/>
    </row>
    <row r="639" spans="1:14" ht="12.75" customHeight="1" x14ac:dyDescent="0.25">
      <c r="A639" s="222"/>
      <c r="B639" s="222"/>
      <c r="C639" s="216"/>
      <c r="D639" s="216"/>
      <c r="E639" s="216"/>
      <c r="F639" s="216"/>
      <c r="G639" s="216"/>
      <c r="H639" s="216"/>
      <c r="L639" s="216"/>
      <c r="N639" s="222"/>
    </row>
    <row r="640" spans="1:14" ht="12.75" customHeight="1" x14ac:dyDescent="0.25">
      <c r="A640" s="222"/>
      <c r="B640" s="222"/>
      <c r="C640" s="216"/>
      <c r="D640" s="216"/>
      <c r="E640" s="216"/>
      <c r="F640" s="216"/>
      <c r="G640" s="216"/>
      <c r="H640" s="216"/>
      <c r="L640" s="216"/>
      <c r="N640" s="222"/>
    </row>
    <row r="641" spans="1:14" ht="12.75" customHeight="1" x14ac:dyDescent="0.25">
      <c r="A641" s="222"/>
      <c r="B641" s="222"/>
      <c r="C641" s="216"/>
      <c r="D641" s="216"/>
      <c r="E641" s="216"/>
      <c r="F641" s="216"/>
      <c r="G641" s="216"/>
      <c r="H641" s="216"/>
      <c r="L641" s="216"/>
      <c r="N641" s="222"/>
    </row>
    <row r="642" spans="1:14" ht="12.75" customHeight="1" x14ac:dyDescent="0.25">
      <c r="A642" s="222"/>
      <c r="B642" s="222"/>
      <c r="C642" s="216"/>
      <c r="D642" s="216"/>
      <c r="E642" s="216"/>
      <c r="F642" s="216"/>
      <c r="G642" s="216"/>
      <c r="H642" s="216"/>
      <c r="L642" s="216"/>
      <c r="N642" s="222"/>
    </row>
    <row r="643" spans="1:14" ht="12.75" customHeight="1" x14ac:dyDescent="0.25">
      <c r="A643" s="222"/>
      <c r="B643" s="222"/>
      <c r="C643" s="216"/>
      <c r="D643" s="216"/>
      <c r="E643" s="216"/>
      <c r="F643" s="216"/>
      <c r="G643" s="216"/>
      <c r="H643" s="216"/>
      <c r="L643" s="216"/>
      <c r="N643" s="222"/>
    </row>
    <row r="644" spans="1:14" ht="12.75" customHeight="1" x14ac:dyDescent="0.25">
      <c r="A644" s="222"/>
      <c r="B644" s="222"/>
      <c r="C644" s="216"/>
      <c r="D644" s="216"/>
      <c r="E644" s="216"/>
      <c r="F644" s="216"/>
      <c r="G644" s="216"/>
      <c r="H644" s="216"/>
      <c r="L644" s="216"/>
      <c r="N644" s="222"/>
    </row>
    <row r="645" spans="1:14" ht="12.75" customHeight="1" x14ac:dyDescent="0.25">
      <c r="A645" s="222"/>
      <c r="B645" s="222"/>
      <c r="C645" s="216"/>
      <c r="D645" s="216"/>
      <c r="E645" s="216"/>
      <c r="F645" s="216"/>
      <c r="G645" s="216"/>
      <c r="H645" s="216"/>
      <c r="L645" s="216"/>
      <c r="N645" s="222"/>
    </row>
    <row r="646" spans="1:14" ht="12.75" customHeight="1" x14ac:dyDescent="0.25">
      <c r="A646" s="222"/>
      <c r="B646" s="222"/>
      <c r="C646" s="216"/>
      <c r="D646" s="216"/>
      <c r="E646" s="216"/>
      <c r="F646" s="216"/>
      <c r="G646" s="216"/>
      <c r="H646" s="216"/>
      <c r="L646" s="216"/>
      <c r="N646" s="222"/>
    </row>
    <row r="647" spans="1:14" ht="12.75" customHeight="1" x14ac:dyDescent="0.25">
      <c r="A647" s="222"/>
      <c r="B647" s="222"/>
      <c r="C647" s="216"/>
      <c r="D647" s="216"/>
      <c r="E647" s="216"/>
      <c r="F647" s="216"/>
      <c r="G647" s="216"/>
      <c r="H647" s="216"/>
      <c r="L647" s="216"/>
      <c r="N647" s="222"/>
    </row>
    <row r="648" spans="1:14" ht="12.75" customHeight="1" x14ac:dyDescent="0.25">
      <c r="A648" s="222"/>
      <c r="B648" s="222"/>
      <c r="C648" s="216"/>
      <c r="D648" s="216"/>
      <c r="E648" s="216"/>
      <c r="F648" s="216"/>
      <c r="G648" s="216"/>
      <c r="H648" s="216"/>
      <c r="L648" s="216"/>
      <c r="N648" s="222"/>
    </row>
    <row r="649" spans="1:14" ht="12.75" customHeight="1" x14ac:dyDescent="0.25">
      <c r="A649" s="222"/>
      <c r="B649" s="222"/>
      <c r="C649" s="216"/>
      <c r="D649" s="216"/>
      <c r="E649" s="216"/>
      <c r="F649" s="216"/>
      <c r="G649" s="216"/>
      <c r="H649" s="216"/>
      <c r="L649" s="216"/>
      <c r="N649" s="222"/>
    </row>
    <row r="650" spans="1:14" ht="12.75" customHeight="1" x14ac:dyDescent="0.25">
      <c r="A650" s="222"/>
      <c r="B650" s="222"/>
      <c r="C650" s="216"/>
      <c r="D650" s="216"/>
      <c r="E650" s="216"/>
      <c r="F650" s="216"/>
      <c r="G650" s="216"/>
      <c r="H650" s="216"/>
      <c r="L650" s="216"/>
      <c r="N650" s="222"/>
    </row>
    <row r="651" spans="1:14" ht="12.75" customHeight="1" x14ac:dyDescent="0.25">
      <c r="A651" s="222"/>
      <c r="B651" s="222"/>
      <c r="C651" s="216"/>
      <c r="D651" s="216"/>
      <c r="E651" s="216"/>
      <c r="F651" s="216"/>
      <c r="G651" s="216"/>
      <c r="H651" s="216"/>
      <c r="L651" s="216"/>
      <c r="N651" s="222"/>
    </row>
    <row r="652" spans="1:14" ht="12.75" customHeight="1" x14ac:dyDescent="0.25">
      <c r="A652" s="222"/>
      <c r="B652" s="222"/>
      <c r="C652" s="216"/>
      <c r="D652" s="216"/>
      <c r="E652" s="216"/>
      <c r="F652" s="216"/>
      <c r="G652" s="216"/>
      <c r="H652" s="216"/>
      <c r="L652" s="216"/>
      <c r="N652" s="222"/>
    </row>
    <row r="653" spans="1:14" ht="12.75" customHeight="1" x14ac:dyDescent="0.25">
      <c r="A653" s="222"/>
      <c r="B653" s="222"/>
      <c r="C653" s="216"/>
      <c r="D653" s="216"/>
      <c r="E653" s="216"/>
      <c r="F653" s="216"/>
      <c r="G653" s="216"/>
      <c r="H653" s="216"/>
      <c r="L653" s="216"/>
      <c r="N653" s="222"/>
    </row>
    <row r="654" spans="1:14" ht="12.75" customHeight="1" x14ac:dyDescent="0.25">
      <c r="A654" s="222"/>
      <c r="B654" s="222"/>
      <c r="C654" s="216"/>
      <c r="D654" s="216"/>
      <c r="E654" s="216"/>
      <c r="F654" s="216"/>
      <c r="G654" s="216"/>
      <c r="H654" s="216"/>
      <c r="L654" s="216"/>
      <c r="N654" s="222"/>
    </row>
    <row r="655" spans="1:14" ht="12.75" customHeight="1" x14ac:dyDescent="0.25">
      <c r="A655" s="222"/>
      <c r="B655" s="222"/>
      <c r="C655" s="216"/>
      <c r="D655" s="216"/>
      <c r="E655" s="216"/>
      <c r="F655" s="216"/>
      <c r="G655" s="216"/>
      <c r="H655" s="216"/>
      <c r="L655" s="216"/>
      <c r="N655" s="222"/>
    </row>
    <row r="656" spans="1:14" ht="12.75" customHeight="1" x14ac:dyDescent="0.25">
      <c r="A656" s="222"/>
      <c r="B656" s="222"/>
      <c r="C656" s="216"/>
      <c r="D656" s="216"/>
      <c r="E656" s="216"/>
      <c r="F656" s="216"/>
      <c r="G656" s="216"/>
      <c r="H656" s="216"/>
      <c r="L656" s="216"/>
      <c r="N656" s="222"/>
    </row>
    <row r="657" spans="1:14" ht="12.75" customHeight="1" x14ac:dyDescent="0.25">
      <c r="A657" s="222"/>
      <c r="B657" s="222"/>
      <c r="C657" s="216"/>
      <c r="D657" s="216"/>
      <c r="E657" s="216"/>
      <c r="F657" s="216"/>
      <c r="G657" s="216"/>
      <c r="H657" s="216"/>
      <c r="L657" s="216"/>
      <c r="N657" s="222"/>
    </row>
    <row r="658" spans="1:14" ht="12.75" customHeight="1" x14ac:dyDescent="0.25">
      <c r="A658" s="222"/>
      <c r="B658" s="222"/>
      <c r="C658" s="216"/>
      <c r="D658" s="216"/>
      <c r="E658" s="216"/>
      <c r="F658" s="216"/>
      <c r="G658" s="216"/>
      <c r="H658" s="216"/>
      <c r="L658" s="216"/>
      <c r="N658" s="222"/>
    </row>
    <row r="659" spans="1:14" ht="12.75" customHeight="1" x14ac:dyDescent="0.25">
      <c r="A659" s="222"/>
      <c r="B659" s="222"/>
      <c r="C659" s="216"/>
      <c r="D659" s="216"/>
      <c r="E659" s="216"/>
      <c r="F659" s="216"/>
      <c r="G659" s="216"/>
      <c r="H659" s="216"/>
      <c r="L659" s="216"/>
      <c r="N659" s="222"/>
    </row>
    <row r="660" spans="1:14" ht="12.75" customHeight="1" x14ac:dyDescent="0.25">
      <c r="A660" s="222"/>
      <c r="B660" s="222"/>
      <c r="C660" s="216"/>
      <c r="D660" s="216"/>
      <c r="E660" s="216"/>
      <c r="F660" s="216"/>
      <c r="G660" s="216"/>
      <c r="H660" s="216"/>
      <c r="L660" s="216"/>
      <c r="N660" s="222"/>
    </row>
    <row r="661" spans="1:14" ht="12.75" customHeight="1" x14ac:dyDescent="0.25">
      <c r="A661" s="222"/>
      <c r="B661" s="222"/>
      <c r="C661" s="216"/>
      <c r="D661" s="216"/>
      <c r="E661" s="216"/>
      <c r="F661" s="216"/>
      <c r="G661" s="216"/>
      <c r="H661" s="216"/>
      <c r="L661" s="216"/>
      <c r="N661" s="222"/>
    </row>
    <row r="662" spans="1:14" ht="12.75" customHeight="1" x14ac:dyDescent="0.25">
      <c r="A662" s="222"/>
      <c r="B662" s="222"/>
      <c r="C662" s="216"/>
      <c r="D662" s="216"/>
      <c r="E662" s="216"/>
      <c r="F662" s="216"/>
      <c r="G662" s="216"/>
      <c r="H662" s="216"/>
      <c r="L662" s="216"/>
      <c r="N662" s="222"/>
    </row>
    <row r="663" spans="1:14" ht="12.75" customHeight="1" x14ac:dyDescent="0.25">
      <c r="A663" s="222"/>
      <c r="B663" s="222"/>
      <c r="C663" s="216"/>
      <c r="D663" s="216"/>
      <c r="E663" s="216"/>
      <c r="F663" s="216"/>
      <c r="G663" s="216"/>
      <c r="H663" s="216"/>
      <c r="L663" s="216"/>
      <c r="N663" s="222"/>
    </row>
    <row r="664" spans="1:14" ht="12.75" customHeight="1" x14ac:dyDescent="0.25">
      <c r="A664" s="222"/>
      <c r="B664" s="222"/>
      <c r="C664" s="216"/>
      <c r="D664" s="216"/>
      <c r="E664" s="216"/>
      <c r="F664" s="216"/>
      <c r="G664" s="216"/>
      <c r="H664" s="216"/>
      <c r="L664" s="216"/>
      <c r="N664" s="222"/>
    </row>
    <row r="665" spans="1:14" ht="12.75" customHeight="1" x14ac:dyDescent="0.25">
      <c r="A665" s="222"/>
      <c r="B665" s="222"/>
      <c r="C665" s="216"/>
      <c r="D665" s="216"/>
      <c r="E665" s="216"/>
      <c r="F665" s="216"/>
      <c r="G665" s="216"/>
      <c r="H665" s="216"/>
      <c r="L665" s="216"/>
      <c r="N665" s="222"/>
    </row>
    <row r="666" spans="1:14" ht="12.75" customHeight="1" x14ac:dyDescent="0.25">
      <c r="A666" s="222"/>
      <c r="B666" s="222"/>
      <c r="C666" s="216"/>
      <c r="D666" s="216"/>
      <c r="E666" s="216"/>
      <c r="F666" s="216"/>
      <c r="G666" s="216"/>
      <c r="H666" s="216"/>
      <c r="L666" s="216"/>
      <c r="N666" s="222"/>
    </row>
    <row r="667" spans="1:14" ht="12.75" customHeight="1" x14ac:dyDescent="0.25">
      <c r="A667" s="222"/>
      <c r="B667" s="222"/>
      <c r="C667" s="216"/>
      <c r="D667" s="216"/>
      <c r="E667" s="216"/>
      <c r="F667" s="216"/>
      <c r="G667" s="216"/>
      <c r="H667" s="216"/>
      <c r="L667" s="216"/>
      <c r="N667" s="222"/>
    </row>
    <row r="668" spans="1:14" ht="12.75" customHeight="1" x14ac:dyDescent="0.25">
      <c r="A668" s="222"/>
      <c r="B668" s="222"/>
      <c r="C668" s="216"/>
      <c r="D668" s="216"/>
      <c r="E668" s="216"/>
      <c r="F668" s="216"/>
      <c r="G668" s="216"/>
      <c r="H668" s="216"/>
      <c r="L668" s="216"/>
      <c r="N668" s="222"/>
    </row>
    <row r="669" spans="1:14" ht="12.75" customHeight="1" x14ac:dyDescent="0.25">
      <c r="A669" s="222"/>
      <c r="B669" s="222"/>
      <c r="C669" s="216"/>
      <c r="D669" s="216"/>
      <c r="E669" s="216"/>
      <c r="F669" s="216"/>
      <c r="G669" s="216"/>
      <c r="H669" s="216"/>
      <c r="L669" s="216"/>
      <c r="N669" s="222"/>
    </row>
    <row r="670" spans="1:14" ht="12.75" customHeight="1" x14ac:dyDescent="0.25">
      <c r="A670" s="222"/>
      <c r="B670" s="222"/>
      <c r="C670" s="216"/>
      <c r="D670" s="216"/>
      <c r="E670" s="216"/>
      <c r="F670" s="216"/>
      <c r="G670" s="216"/>
      <c r="H670" s="216"/>
      <c r="L670" s="216"/>
      <c r="N670" s="222"/>
    </row>
    <row r="671" spans="1:14" ht="12.75" customHeight="1" x14ac:dyDescent="0.25">
      <c r="A671" s="222"/>
      <c r="B671" s="222"/>
      <c r="C671" s="216"/>
      <c r="D671" s="216"/>
      <c r="E671" s="216"/>
      <c r="F671" s="216"/>
      <c r="G671" s="216"/>
      <c r="H671" s="216"/>
      <c r="L671" s="216"/>
      <c r="N671" s="222"/>
    </row>
    <row r="672" spans="1:14" ht="12.75" customHeight="1" x14ac:dyDescent="0.25">
      <c r="A672" s="222"/>
      <c r="B672" s="222"/>
      <c r="C672" s="216"/>
      <c r="D672" s="216"/>
      <c r="E672" s="216"/>
      <c r="F672" s="216"/>
      <c r="G672" s="216"/>
      <c r="H672" s="216"/>
      <c r="L672" s="216"/>
      <c r="N672" s="222"/>
    </row>
    <row r="673" spans="1:14" ht="12.75" customHeight="1" x14ac:dyDescent="0.25">
      <c r="A673" s="222"/>
      <c r="B673" s="222"/>
      <c r="C673" s="216"/>
      <c r="D673" s="216"/>
      <c r="E673" s="216"/>
      <c r="F673" s="216"/>
      <c r="G673" s="216"/>
      <c r="H673" s="216"/>
      <c r="L673" s="216"/>
      <c r="N673" s="222"/>
    </row>
    <row r="674" spans="1:14" ht="12.75" customHeight="1" x14ac:dyDescent="0.25">
      <c r="A674" s="222"/>
      <c r="B674" s="222"/>
      <c r="C674" s="216"/>
      <c r="D674" s="216"/>
      <c r="E674" s="216"/>
      <c r="F674" s="216"/>
      <c r="G674" s="216"/>
      <c r="H674" s="216"/>
      <c r="L674" s="216"/>
      <c r="N674" s="222"/>
    </row>
    <row r="675" spans="1:14" ht="12.75" customHeight="1" x14ac:dyDescent="0.25">
      <c r="A675" s="222"/>
      <c r="B675" s="222"/>
      <c r="C675" s="216"/>
      <c r="D675" s="216"/>
      <c r="E675" s="216"/>
      <c r="F675" s="216"/>
      <c r="G675" s="216"/>
      <c r="H675" s="216"/>
      <c r="L675" s="216"/>
      <c r="N675" s="222"/>
    </row>
    <row r="676" spans="1:14" ht="12.75" customHeight="1" x14ac:dyDescent="0.25">
      <c r="A676" s="222"/>
      <c r="B676" s="222"/>
      <c r="C676" s="216"/>
      <c r="D676" s="216"/>
      <c r="E676" s="216"/>
      <c r="F676" s="216"/>
      <c r="G676" s="216"/>
      <c r="H676" s="216"/>
      <c r="L676" s="216"/>
      <c r="N676" s="222"/>
    </row>
    <row r="677" spans="1:14" ht="12.75" customHeight="1" x14ac:dyDescent="0.25">
      <c r="A677" s="222"/>
      <c r="B677" s="222"/>
      <c r="C677" s="216"/>
      <c r="D677" s="216"/>
      <c r="E677" s="216"/>
      <c r="F677" s="216"/>
      <c r="G677" s="216"/>
      <c r="H677" s="216"/>
      <c r="L677" s="216"/>
      <c r="N677" s="222"/>
    </row>
    <row r="678" spans="1:14" ht="12.75" customHeight="1" x14ac:dyDescent="0.25">
      <c r="A678" s="222"/>
      <c r="B678" s="222"/>
      <c r="C678" s="216"/>
      <c r="D678" s="216"/>
      <c r="E678" s="216"/>
      <c r="F678" s="216"/>
      <c r="G678" s="216"/>
      <c r="H678" s="216"/>
      <c r="L678" s="216"/>
      <c r="N678" s="222"/>
    </row>
    <row r="679" spans="1:14" ht="12.75" customHeight="1" x14ac:dyDescent="0.25">
      <c r="A679" s="222"/>
      <c r="B679" s="222"/>
      <c r="C679" s="216"/>
      <c r="D679" s="216"/>
      <c r="E679" s="216"/>
      <c r="F679" s="216"/>
      <c r="G679" s="216"/>
      <c r="H679" s="216"/>
      <c r="L679" s="216"/>
      <c r="N679" s="222"/>
    </row>
    <row r="680" spans="1:14" ht="12.75" customHeight="1" x14ac:dyDescent="0.25">
      <c r="A680" s="222"/>
      <c r="B680" s="222"/>
      <c r="C680" s="216"/>
      <c r="D680" s="216"/>
      <c r="E680" s="216"/>
      <c r="F680" s="216"/>
      <c r="G680" s="216"/>
      <c r="H680" s="216"/>
      <c r="L680" s="216"/>
      <c r="N680" s="222"/>
    </row>
    <row r="681" spans="1:14" ht="12.75" customHeight="1" x14ac:dyDescent="0.25">
      <c r="A681" s="222"/>
      <c r="B681" s="222"/>
      <c r="C681" s="216"/>
      <c r="D681" s="216"/>
      <c r="E681" s="216"/>
      <c r="F681" s="216"/>
      <c r="G681" s="216"/>
      <c r="H681" s="216"/>
      <c r="L681" s="216"/>
      <c r="N681" s="222"/>
    </row>
    <row r="682" spans="1:14" ht="12.75" customHeight="1" x14ac:dyDescent="0.25">
      <c r="A682" s="222"/>
      <c r="B682" s="222"/>
      <c r="C682" s="216"/>
      <c r="D682" s="216"/>
      <c r="E682" s="216"/>
      <c r="F682" s="216"/>
      <c r="G682" s="216"/>
      <c r="H682" s="216"/>
      <c r="L682" s="216"/>
      <c r="N682" s="222"/>
    </row>
    <row r="683" spans="1:14" ht="12.75" customHeight="1" x14ac:dyDescent="0.25">
      <c r="A683" s="222"/>
      <c r="B683" s="222"/>
      <c r="C683" s="216"/>
      <c r="D683" s="216"/>
      <c r="E683" s="216"/>
      <c r="F683" s="216"/>
      <c r="G683" s="216"/>
      <c r="H683" s="216"/>
      <c r="L683" s="216"/>
      <c r="N683" s="222"/>
    </row>
    <row r="684" spans="1:14" ht="12.75" customHeight="1" x14ac:dyDescent="0.25">
      <c r="A684" s="222"/>
      <c r="B684" s="222"/>
      <c r="C684" s="216"/>
      <c r="D684" s="216"/>
      <c r="E684" s="216"/>
      <c r="F684" s="216"/>
      <c r="G684" s="216"/>
      <c r="H684" s="216"/>
      <c r="L684" s="216"/>
      <c r="N684" s="222"/>
    </row>
    <row r="685" spans="1:14" ht="12.75" customHeight="1" x14ac:dyDescent="0.25">
      <c r="A685" s="222"/>
      <c r="B685" s="222"/>
      <c r="C685" s="216"/>
      <c r="D685" s="216"/>
      <c r="E685" s="216"/>
      <c r="F685" s="216"/>
      <c r="G685" s="216"/>
      <c r="H685" s="216"/>
      <c r="L685" s="216"/>
      <c r="N685" s="222"/>
    </row>
    <row r="686" spans="1:14" ht="12.75" customHeight="1" x14ac:dyDescent="0.25">
      <c r="A686" s="222"/>
      <c r="B686" s="222"/>
      <c r="C686" s="216"/>
      <c r="D686" s="216"/>
      <c r="E686" s="216"/>
      <c r="F686" s="216"/>
      <c r="G686" s="216"/>
      <c r="H686" s="216"/>
      <c r="L686" s="216"/>
      <c r="N686" s="222"/>
    </row>
    <row r="687" spans="1:14" ht="12.75" customHeight="1" x14ac:dyDescent="0.25">
      <c r="A687" s="222"/>
      <c r="B687" s="222"/>
      <c r="C687" s="216"/>
      <c r="D687" s="216"/>
      <c r="E687" s="216"/>
      <c r="F687" s="216"/>
      <c r="G687" s="216"/>
      <c r="H687" s="216"/>
      <c r="L687" s="216"/>
      <c r="N687" s="222"/>
    </row>
    <row r="688" spans="1:14" ht="12.75" customHeight="1" x14ac:dyDescent="0.25">
      <c r="A688" s="222"/>
      <c r="B688" s="222"/>
      <c r="C688" s="216"/>
      <c r="D688" s="216"/>
      <c r="E688" s="216"/>
      <c r="F688" s="216"/>
      <c r="G688" s="216"/>
      <c r="H688" s="216"/>
      <c r="L688" s="216"/>
      <c r="N688" s="222"/>
    </row>
    <row r="689" spans="1:14" ht="12.75" customHeight="1" x14ac:dyDescent="0.25">
      <c r="A689" s="222"/>
      <c r="B689" s="222"/>
      <c r="C689" s="216"/>
      <c r="D689" s="216"/>
      <c r="E689" s="216"/>
      <c r="F689" s="216"/>
      <c r="G689" s="216"/>
      <c r="H689" s="216"/>
      <c r="L689" s="216"/>
      <c r="N689" s="222"/>
    </row>
    <row r="690" spans="1:14" ht="12.75" customHeight="1" x14ac:dyDescent="0.25">
      <c r="A690" s="222"/>
      <c r="B690" s="222"/>
      <c r="C690" s="216"/>
      <c r="D690" s="216"/>
      <c r="E690" s="216"/>
      <c r="F690" s="216"/>
      <c r="G690" s="216"/>
      <c r="H690" s="216"/>
      <c r="L690" s="216"/>
      <c r="N690" s="222"/>
    </row>
    <row r="691" spans="1:14" ht="12.75" customHeight="1" x14ac:dyDescent="0.25">
      <c r="A691" s="222"/>
      <c r="B691" s="222"/>
      <c r="C691" s="216"/>
      <c r="D691" s="216"/>
      <c r="E691" s="216"/>
      <c r="F691" s="216"/>
      <c r="G691" s="216"/>
      <c r="H691" s="216"/>
      <c r="L691" s="216"/>
      <c r="N691" s="222"/>
    </row>
    <row r="692" spans="1:14" ht="12.75" customHeight="1" x14ac:dyDescent="0.25">
      <c r="A692" s="222"/>
      <c r="B692" s="222"/>
      <c r="C692" s="216"/>
      <c r="D692" s="216"/>
      <c r="E692" s="216"/>
      <c r="F692" s="216"/>
      <c r="G692" s="216"/>
      <c r="H692" s="216"/>
      <c r="L692" s="216"/>
      <c r="N692" s="222"/>
    </row>
    <row r="693" spans="1:14" ht="12.75" customHeight="1" x14ac:dyDescent="0.25">
      <c r="A693" s="222"/>
      <c r="B693" s="222"/>
      <c r="C693" s="216"/>
      <c r="D693" s="216"/>
      <c r="E693" s="216"/>
      <c r="F693" s="216"/>
      <c r="G693" s="216"/>
      <c r="H693" s="216"/>
      <c r="L693" s="216"/>
      <c r="N693" s="222"/>
    </row>
    <row r="694" spans="1:14" ht="12.75" customHeight="1" x14ac:dyDescent="0.25">
      <c r="A694" s="222"/>
      <c r="B694" s="222"/>
      <c r="C694" s="216"/>
      <c r="D694" s="216"/>
      <c r="E694" s="216"/>
      <c r="F694" s="216"/>
      <c r="G694" s="216"/>
      <c r="H694" s="216"/>
      <c r="L694" s="216"/>
      <c r="N694" s="222"/>
    </row>
    <row r="695" spans="1:14" ht="12.75" customHeight="1" x14ac:dyDescent="0.25">
      <c r="A695" s="222"/>
      <c r="B695" s="222"/>
      <c r="C695" s="216"/>
      <c r="D695" s="216"/>
      <c r="E695" s="216"/>
      <c r="F695" s="216"/>
      <c r="G695" s="216"/>
      <c r="H695" s="216"/>
      <c r="L695" s="216"/>
      <c r="N695" s="222"/>
    </row>
    <row r="696" spans="1:14" ht="12.75" customHeight="1" x14ac:dyDescent="0.25">
      <c r="A696" s="222"/>
      <c r="B696" s="222"/>
      <c r="C696" s="216"/>
      <c r="D696" s="216"/>
      <c r="E696" s="216"/>
      <c r="F696" s="216"/>
      <c r="G696" s="216"/>
      <c r="H696" s="216"/>
      <c r="L696" s="216"/>
      <c r="N696" s="222"/>
    </row>
    <row r="697" spans="1:14" ht="12.75" customHeight="1" x14ac:dyDescent="0.25">
      <c r="A697" s="222"/>
      <c r="B697" s="222"/>
      <c r="C697" s="216"/>
      <c r="D697" s="216"/>
      <c r="E697" s="216"/>
      <c r="F697" s="216"/>
      <c r="G697" s="216"/>
      <c r="H697" s="216"/>
      <c r="L697" s="216"/>
      <c r="N697" s="222"/>
    </row>
    <row r="698" spans="1:14" ht="12.75" customHeight="1" x14ac:dyDescent="0.25">
      <c r="A698" s="222"/>
      <c r="B698" s="222"/>
      <c r="C698" s="216"/>
      <c r="D698" s="216"/>
      <c r="E698" s="216"/>
      <c r="F698" s="216"/>
      <c r="G698" s="216"/>
      <c r="H698" s="216"/>
      <c r="L698" s="216"/>
      <c r="N698" s="222"/>
    </row>
    <row r="699" spans="1:14" ht="12.75" customHeight="1" x14ac:dyDescent="0.25">
      <c r="A699" s="222"/>
      <c r="B699" s="222"/>
      <c r="C699" s="216"/>
      <c r="D699" s="216"/>
      <c r="E699" s="216"/>
      <c r="F699" s="216"/>
      <c r="G699" s="216"/>
      <c r="H699" s="216"/>
      <c r="L699" s="216"/>
      <c r="N699" s="222"/>
    </row>
    <row r="700" spans="1:14" ht="12.75" customHeight="1" x14ac:dyDescent="0.25">
      <c r="A700" s="222"/>
      <c r="B700" s="222"/>
      <c r="C700" s="216"/>
      <c r="D700" s="216"/>
      <c r="E700" s="216"/>
      <c r="F700" s="216"/>
      <c r="G700" s="216"/>
      <c r="H700" s="216"/>
      <c r="L700" s="216"/>
      <c r="N700" s="222"/>
    </row>
    <row r="701" spans="1:14" ht="12.75" customHeight="1" x14ac:dyDescent="0.25">
      <c r="A701" s="222"/>
      <c r="B701" s="222"/>
      <c r="C701" s="216"/>
      <c r="D701" s="216"/>
      <c r="E701" s="216"/>
      <c r="F701" s="216"/>
      <c r="G701" s="216"/>
      <c r="H701" s="216"/>
      <c r="L701" s="216"/>
      <c r="N701" s="222"/>
    </row>
    <row r="702" spans="1:14" ht="12.75" customHeight="1" x14ac:dyDescent="0.25">
      <c r="A702" s="222"/>
      <c r="B702" s="222"/>
      <c r="C702" s="216"/>
      <c r="D702" s="216"/>
      <c r="E702" s="216"/>
      <c r="F702" s="216"/>
      <c r="G702" s="216"/>
      <c r="H702" s="216"/>
      <c r="L702" s="216"/>
      <c r="N702" s="222"/>
    </row>
    <row r="703" spans="1:14" ht="12.75" customHeight="1" x14ac:dyDescent="0.25">
      <c r="A703" s="222"/>
      <c r="B703" s="222"/>
      <c r="C703" s="216"/>
      <c r="D703" s="216"/>
      <c r="E703" s="216"/>
      <c r="F703" s="216"/>
      <c r="G703" s="216"/>
      <c r="H703" s="216"/>
      <c r="L703" s="216"/>
      <c r="N703" s="222"/>
    </row>
    <row r="704" spans="1:14" ht="12.75" customHeight="1" x14ac:dyDescent="0.25">
      <c r="A704" s="222"/>
      <c r="B704" s="222"/>
      <c r="C704" s="216"/>
      <c r="D704" s="216"/>
      <c r="E704" s="216"/>
      <c r="F704" s="216"/>
      <c r="G704" s="216"/>
      <c r="H704" s="216"/>
      <c r="L704" s="216"/>
      <c r="N704" s="222"/>
    </row>
    <row r="705" spans="1:14" ht="12.75" customHeight="1" x14ac:dyDescent="0.25">
      <c r="A705" s="222"/>
      <c r="B705" s="222"/>
      <c r="C705" s="216"/>
      <c r="D705" s="216"/>
      <c r="E705" s="216"/>
      <c r="F705" s="216"/>
      <c r="G705" s="216"/>
      <c r="H705" s="216"/>
      <c r="L705" s="216"/>
      <c r="N705" s="222"/>
    </row>
    <row r="706" spans="1:14" ht="12.75" customHeight="1" x14ac:dyDescent="0.25">
      <c r="A706" s="222"/>
      <c r="B706" s="222"/>
      <c r="C706" s="216"/>
      <c r="D706" s="216"/>
      <c r="E706" s="216"/>
      <c r="F706" s="216"/>
      <c r="G706" s="216"/>
      <c r="H706" s="216"/>
      <c r="L706" s="216"/>
      <c r="N706" s="222"/>
    </row>
    <row r="707" spans="1:14" ht="12.75" customHeight="1" x14ac:dyDescent="0.25">
      <c r="A707" s="222"/>
      <c r="B707" s="222"/>
      <c r="C707" s="216"/>
      <c r="D707" s="216"/>
      <c r="E707" s="216"/>
      <c r="F707" s="216"/>
      <c r="G707" s="216"/>
      <c r="H707" s="216"/>
      <c r="L707" s="216"/>
      <c r="N707" s="222"/>
    </row>
    <row r="708" spans="1:14" ht="12.75" customHeight="1" x14ac:dyDescent="0.25">
      <c r="A708" s="222"/>
      <c r="B708" s="222"/>
      <c r="C708" s="216"/>
      <c r="D708" s="216"/>
      <c r="E708" s="216"/>
      <c r="F708" s="216"/>
      <c r="G708" s="216"/>
      <c r="H708" s="216"/>
      <c r="L708" s="216"/>
      <c r="N708" s="222"/>
    </row>
    <row r="709" spans="1:14" ht="12.75" customHeight="1" x14ac:dyDescent="0.25">
      <c r="A709" s="222"/>
      <c r="B709" s="222"/>
      <c r="C709" s="216"/>
      <c r="D709" s="216"/>
      <c r="E709" s="216"/>
      <c r="F709" s="216"/>
      <c r="G709" s="216"/>
      <c r="H709" s="216"/>
      <c r="L709" s="216"/>
      <c r="N709" s="222"/>
    </row>
    <row r="710" spans="1:14" ht="12.75" customHeight="1" x14ac:dyDescent="0.25">
      <c r="A710" s="222"/>
      <c r="B710" s="222"/>
      <c r="C710" s="216"/>
      <c r="D710" s="216"/>
      <c r="E710" s="216"/>
      <c r="F710" s="216"/>
      <c r="G710" s="216"/>
      <c r="H710" s="216"/>
      <c r="L710" s="216"/>
      <c r="N710" s="222"/>
    </row>
    <row r="711" spans="1:14" ht="12.75" customHeight="1" x14ac:dyDescent="0.25">
      <c r="A711" s="222"/>
      <c r="B711" s="222"/>
      <c r="C711" s="216"/>
      <c r="D711" s="216"/>
      <c r="E711" s="216"/>
      <c r="F711" s="216"/>
      <c r="G711" s="216"/>
      <c r="H711" s="216"/>
      <c r="L711" s="216"/>
      <c r="N711" s="222"/>
    </row>
    <row r="712" spans="1:14" ht="12.75" customHeight="1" x14ac:dyDescent="0.25">
      <c r="A712" s="222"/>
      <c r="B712" s="222"/>
      <c r="C712" s="216"/>
      <c r="D712" s="216"/>
      <c r="E712" s="216"/>
      <c r="F712" s="216"/>
      <c r="G712" s="216"/>
      <c r="H712" s="216"/>
      <c r="L712" s="216"/>
      <c r="N712" s="222"/>
    </row>
    <row r="713" spans="1:14" ht="12.75" customHeight="1" x14ac:dyDescent="0.25">
      <c r="A713" s="222"/>
      <c r="B713" s="222"/>
      <c r="C713" s="216"/>
      <c r="D713" s="216"/>
      <c r="E713" s="216"/>
      <c r="F713" s="216"/>
      <c r="G713" s="216"/>
      <c r="H713" s="216"/>
      <c r="L713" s="216"/>
      <c r="N713" s="222"/>
    </row>
    <row r="714" spans="1:14" ht="12.75" customHeight="1" x14ac:dyDescent="0.25">
      <c r="A714" s="222"/>
      <c r="B714" s="222"/>
      <c r="C714" s="216"/>
      <c r="D714" s="216"/>
      <c r="E714" s="216"/>
      <c r="F714" s="216"/>
      <c r="G714" s="216"/>
      <c r="H714" s="216"/>
      <c r="L714" s="216"/>
      <c r="N714" s="222"/>
    </row>
    <row r="715" spans="1:14" ht="12.75" customHeight="1" x14ac:dyDescent="0.25">
      <c r="A715" s="222"/>
      <c r="B715" s="222"/>
      <c r="C715" s="216"/>
      <c r="D715" s="216"/>
      <c r="E715" s="216"/>
      <c r="F715" s="216"/>
      <c r="G715" s="216"/>
      <c r="H715" s="216"/>
      <c r="L715" s="216"/>
      <c r="N715" s="222"/>
    </row>
    <row r="716" spans="1:14" ht="12.75" customHeight="1" x14ac:dyDescent="0.25">
      <c r="A716" s="222"/>
      <c r="B716" s="222"/>
      <c r="C716" s="216"/>
      <c r="D716" s="216"/>
      <c r="E716" s="216"/>
      <c r="F716" s="216"/>
      <c r="G716" s="216"/>
      <c r="H716" s="216"/>
      <c r="L716" s="216"/>
      <c r="N716" s="222"/>
    </row>
    <row r="717" spans="1:14" ht="12.75" customHeight="1" x14ac:dyDescent="0.25">
      <c r="A717" s="222"/>
      <c r="B717" s="222"/>
      <c r="C717" s="216"/>
      <c r="D717" s="216"/>
      <c r="E717" s="216"/>
      <c r="F717" s="216"/>
      <c r="G717" s="216"/>
      <c r="H717" s="216"/>
      <c r="L717" s="216"/>
      <c r="N717" s="222"/>
    </row>
    <row r="718" spans="1:14" ht="12.75" customHeight="1" x14ac:dyDescent="0.25">
      <c r="A718" s="222"/>
      <c r="B718" s="222"/>
      <c r="C718" s="216"/>
      <c r="D718" s="216"/>
      <c r="E718" s="216"/>
      <c r="F718" s="216"/>
      <c r="G718" s="216"/>
      <c r="H718" s="216"/>
      <c r="L718" s="216"/>
      <c r="N718" s="222"/>
    </row>
    <row r="719" spans="1:14" ht="12.75" customHeight="1" x14ac:dyDescent="0.25">
      <c r="A719" s="222"/>
      <c r="B719" s="222"/>
      <c r="C719" s="216"/>
      <c r="D719" s="216"/>
      <c r="E719" s="216"/>
      <c r="F719" s="216"/>
      <c r="G719" s="216"/>
      <c r="H719" s="216"/>
      <c r="L719" s="216"/>
      <c r="N719" s="222"/>
    </row>
    <row r="720" spans="1:14" ht="12.75" customHeight="1" x14ac:dyDescent="0.25">
      <c r="A720" s="222"/>
      <c r="B720" s="222"/>
      <c r="C720" s="216"/>
      <c r="D720" s="216"/>
      <c r="E720" s="216"/>
      <c r="F720" s="216"/>
      <c r="G720" s="216"/>
      <c r="H720" s="216"/>
      <c r="L720" s="216"/>
      <c r="N720" s="222"/>
    </row>
    <row r="721" spans="1:14" ht="12.75" customHeight="1" x14ac:dyDescent="0.25">
      <c r="A721" s="222"/>
      <c r="B721" s="222"/>
      <c r="C721" s="216"/>
      <c r="D721" s="216"/>
      <c r="E721" s="216"/>
      <c r="F721" s="216"/>
      <c r="G721" s="216"/>
      <c r="H721" s="216"/>
      <c r="L721" s="216"/>
      <c r="N721" s="222"/>
    </row>
    <row r="722" spans="1:14" ht="12.75" customHeight="1" x14ac:dyDescent="0.25">
      <c r="A722" s="222"/>
      <c r="B722" s="222"/>
      <c r="C722" s="216"/>
      <c r="D722" s="216"/>
      <c r="E722" s="216"/>
      <c r="F722" s="216"/>
      <c r="G722" s="216"/>
      <c r="H722" s="216"/>
      <c r="L722" s="216"/>
      <c r="N722" s="222"/>
    </row>
    <row r="723" spans="1:14" ht="12.75" customHeight="1" x14ac:dyDescent="0.25">
      <c r="A723" s="222"/>
      <c r="B723" s="222"/>
      <c r="C723" s="216"/>
      <c r="D723" s="216"/>
      <c r="E723" s="216"/>
      <c r="F723" s="216"/>
      <c r="G723" s="216"/>
      <c r="H723" s="216"/>
      <c r="L723" s="216"/>
      <c r="N723" s="222"/>
    </row>
    <row r="724" spans="1:14" ht="12.75" customHeight="1" x14ac:dyDescent="0.25">
      <c r="A724" s="222"/>
      <c r="B724" s="222"/>
      <c r="C724" s="216"/>
      <c r="D724" s="216"/>
      <c r="E724" s="216"/>
      <c r="F724" s="216"/>
      <c r="G724" s="216"/>
      <c r="H724" s="216"/>
      <c r="L724" s="216"/>
      <c r="N724" s="222"/>
    </row>
    <row r="725" spans="1:14" ht="12.75" customHeight="1" x14ac:dyDescent="0.25">
      <c r="A725" s="222"/>
      <c r="B725" s="222"/>
      <c r="C725" s="216"/>
      <c r="D725" s="216"/>
      <c r="E725" s="216"/>
      <c r="F725" s="216"/>
      <c r="G725" s="216"/>
      <c r="H725" s="216"/>
      <c r="L725" s="216"/>
      <c r="N725" s="222"/>
    </row>
    <row r="726" spans="1:14" ht="12.75" customHeight="1" x14ac:dyDescent="0.25">
      <c r="A726" s="222"/>
      <c r="B726" s="222"/>
      <c r="C726" s="216"/>
      <c r="D726" s="216"/>
      <c r="E726" s="216"/>
      <c r="F726" s="216"/>
      <c r="G726" s="216"/>
      <c r="H726" s="216"/>
      <c r="L726" s="216"/>
      <c r="N726" s="222"/>
    </row>
    <row r="727" spans="1:14" ht="12.75" customHeight="1" x14ac:dyDescent="0.25">
      <c r="A727" s="222"/>
      <c r="B727" s="222"/>
      <c r="C727" s="216"/>
      <c r="D727" s="216"/>
      <c r="E727" s="216"/>
      <c r="F727" s="216"/>
      <c r="G727" s="216"/>
      <c r="H727" s="216"/>
      <c r="L727" s="216"/>
      <c r="N727" s="222"/>
    </row>
    <row r="728" spans="1:14" ht="12.75" customHeight="1" x14ac:dyDescent="0.25">
      <c r="A728" s="222"/>
      <c r="B728" s="222"/>
      <c r="C728" s="216"/>
      <c r="D728" s="216"/>
      <c r="E728" s="216"/>
      <c r="F728" s="216"/>
      <c r="G728" s="216"/>
      <c r="H728" s="216"/>
      <c r="L728" s="216"/>
      <c r="N728" s="222"/>
    </row>
    <row r="729" spans="1:14" ht="12.75" customHeight="1" x14ac:dyDescent="0.25">
      <c r="A729" s="222"/>
      <c r="B729" s="222"/>
      <c r="C729" s="216"/>
      <c r="D729" s="216"/>
      <c r="E729" s="216"/>
      <c r="F729" s="216"/>
      <c r="G729" s="216"/>
      <c r="H729" s="216"/>
      <c r="L729" s="216"/>
      <c r="N729" s="222"/>
    </row>
    <row r="730" spans="1:14" ht="12.75" customHeight="1" x14ac:dyDescent="0.25">
      <c r="A730" s="222"/>
      <c r="B730" s="222"/>
      <c r="C730" s="216"/>
      <c r="D730" s="216"/>
      <c r="E730" s="216"/>
      <c r="F730" s="216"/>
      <c r="G730" s="216"/>
      <c r="H730" s="216"/>
      <c r="L730" s="216"/>
      <c r="N730" s="222"/>
    </row>
    <row r="731" spans="1:14" ht="12.75" customHeight="1" x14ac:dyDescent="0.25">
      <c r="A731" s="222"/>
      <c r="B731" s="222"/>
      <c r="C731" s="216"/>
      <c r="D731" s="216"/>
      <c r="E731" s="216"/>
      <c r="F731" s="216"/>
      <c r="G731" s="216"/>
      <c r="H731" s="216"/>
      <c r="L731" s="216"/>
      <c r="N731" s="222"/>
    </row>
    <row r="732" spans="1:14" ht="12.75" customHeight="1" x14ac:dyDescent="0.25">
      <c r="A732" s="222"/>
      <c r="B732" s="222"/>
      <c r="C732" s="216"/>
      <c r="D732" s="216"/>
      <c r="E732" s="216"/>
      <c r="F732" s="216"/>
      <c r="G732" s="216"/>
      <c r="H732" s="216"/>
      <c r="L732" s="216"/>
      <c r="N732" s="222"/>
    </row>
    <row r="733" spans="1:14" ht="12.75" customHeight="1" x14ac:dyDescent="0.25">
      <c r="A733" s="222"/>
      <c r="B733" s="222"/>
      <c r="C733" s="216"/>
      <c r="D733" s="216"/>
      <c r="E733" s="216"/>
      <c r="F733" s="216"/>
      <c r="G733" s="216"/>
      <c r="H733" s="216"/>
      <c r="L733" s="216"/>
      <c r="N733" s="222"/>
    </row>
    <row r="734" spans="1:14" ht="12.75" customHeight="1" x14ac:dyDescent="0.25">
      <c r="A734" s="222"/>
      <c r="B734" s="222"/>
      <c r="C734" s="216"/>
      <c r="D734" s="216"/>
      <c r="E734" s="216"/>
      <c r="F734" s="216"/>
      <c r="G734" s="216"/>
      <c r="H734" s="216"/>
      <c r="L734" s="216"/>
      <c r="N734" s="222"/>
    </row>
    <row r="735" spans="1:14" ht="12.75" customHeight="1" x14ac:dyDescent="0.25">
      <c r="A735" s="222"/>
      <c r="B735" s="222"/>
      <c r="C735" s="216"/>
      <c r="D735" s="216"/>
      <c r="E735" s="216"/>
      <c r="F735" s="216"/>
      <c r="G735" s="216"/>
      <c r="H735" s="216"/>
      <c r="L735" s="216"/>
      <c r="N735" s="222"/>
    </row>
    <row r="736" spans="1:14" ht="12.75" customHeight="1" x14ac:dyDescent="0.25">
      <c r="A736" s="222"/>
      <c r="B736" s="222"/>
      <c r="C736" s="216"/>
      <c r="D736" s="216"/>
      <c r="E736" s="216"/>
      <c r="F736" s="216"/>
      <c r="G736" s="216"/>
      <c r="H736" s="216"/>
      <c r="L736" s="216"/>
      <c r="N736" s="222"/>
    </row>
    <row r="737" spans="1:14" ht="12.75" customHeight="1" x14ac:dyDescent="0.25">
      <c r="A737" s="222"/>
      <c r="B737" s="222"/>
      <c r="C737" s="216"/>
      <c r="D737" s="216"/>
      <c r="E737" s="216"/>
      <c r="F737" s="216"/>
      <c r="G737" s="216"/>
      <c r="H737" s="216"/>
      <c r="L737" s="216"/>
      <c r="N737" s="222"/>
    </row>
    <row r="738" spans="1:14" ht="12.75" customHeight="1" x14ac:dyDescent="0.25">
      <c r="A738" s="222"/>
      <c r="B738" s="222"/>
      <c r="C738" s="216"/>
      <c r="D738" s="216"/>
      <c r="E738" s="216"/>
      <c r="F738" s="216"/>
      <c r="G738" s="216"/>
      <c r="H738" s="216"/>
      <c r="L738" s="216"/>
      <c r="N738" s="222"/>
    </row>
    <row r="739" spans="1:14" ht="12.75" customHeight="1" x14ac:dyDescent="0.25">
      <c r="A739" s="222"/>
      <c r="B739" s="222"/>
      <c r="C739" s="216"/>
      <c r="D739" s="216"/>
      <c r="E739" s="216"/>
      <c r="F739" s="216"/>
      <c r="G739" s="216"/>
      <c r="H739" s="216"/>
      <c r="L739" s="216"/>
      <c r="N739" s="222"/>
    </row>
    <row r="740" spans="1:14" ht="12.75" customHeight="1" x14ac:dyDescent="0.25">
      <c r="A740" s="222"/>
      <c r="B740" s="222"/>
      <c r="C740" s="216"/>
      <c r="D740" s="216"/>
      <c r="E740" s="216"/>
      <c r="F740" s="216"/>
      <c r="G740" s="216"/>
      <c r="H740" s="216"/>
      <c r="L740" s="216"/>
      <c r="N740" s="222"/>
    </row>
    <row r="741" spans="1:14" ht="12.75" customHeight="1" x14ac:dyDescent="0.25">
      <c r="A741" s="222"/>
      <c r="B741" s="222"/>
      <c r="C741" s="216"/>
      <c r="D741" s="216"/>
      <c r="E741" s="216"/>
      <c r="F741" s="216"/>
      <c r="G741" s="216"/>
      <c r="H741" s="216"/>
      <c r="L741" s="216"/>
      <c r="N741" s="222"/>
    </row>
    <row r="742" spans="1:14" ht="12.75" customHeight="1" x14ac:dyDescent="0.25">
      <c r="A742" s="222"/>
      <c r="B742" s="222"/>
      <c r="C742" s="216"/>
      <c r="D742" s="216"/>
      <c r="E742" s="216"/>
      <c r="F742" s="216"/>
      <c r="G742" s="216"/>
      <c r="H742" s="216"/>
      <c r="L742" s="216"/>
      <c r="N742" s="222"/>
    </row>
    <row r="743" spans="1:14" ht="12.75" customHeight="1" x14ac:dyDescent="0.25">
      <c r="A743" s="222"/>
      <c r="B743" s="222"/>
      <c r="C743" s="216"/>
      <c r="D743" s="216"/>
      <c r="E743" s="216"/>
      <c r="F743" s="216"/>
      <c r="G743" s="216"/>
      <c r="H743" s="216"/>
      <c r="L743" s="216"/>
      <c r="N743" s="222"/>
    </row>
    <row r="744" spans="1:14" ht="12.75" customHeight="1" x14ac:dyDescent="0.25">
      <c r="A744" s="222"/>
      <c r="B744" s="222"/>
      <c r="C744" s="216"/>
      <c r="D744" s="216"/>
      <c r="E744" s="216"/>
      <c r="F744" s="216"/>
      <c r="G744" s="216"/>
      <c r="H744" s="216"/>
      <c r="L744" s="216"/>
      <c r="N744" s="222"/>
    </row>
    <row r="745" spans="1:14" ht="12.75" customHeight="1" x14ac:dyDescent="0.25">
      <c r="A745" s="222"/>
      <c r="B745" s="222"/>
      <c r="C745" s="216"/>
      <c r="D745" s="216"/>
      <c r="E745" s="216"/>
      <c r="F745" s="216"/>
      <c r="G745" s="216"/>
      <c r="H745" s="216"/>
      <c r="L745" s="216"/>
      <c r="N745" s="222"/>
    </row>
    <row r="746" spans="1:14" ht="12.75" customHeight="1" x14ac:dyDescent="0.25">
      <c r="A746" s="222"/>
      <c r="B746" s="222"/>
      <c r="C746" s="216"/>
      <c r="D746" s="216"/>
      <c r="E746" s="216"/>
      <c r="F746" s="216"/>
      <c r="G746" s="216"/>
      <c r="H746" s="216"/>
      <c r="L746" s="216"/>
      <c r="N746" s="222"/>
    </row>
    <row r="747" spans="1:14" ht="12.75" customHeight="1" x14ac:dyDescent="0.25">
      <c r="A747" s="222"/>
      <c r="B747" s="222"/>
      <c r="C747" s="216"/>
      <c r="D747" s="216"/>
      <c r="E747" s="216"/>
      <c r="F747" s="216"/>
      <c r="G747" s="216"/>
      <c r="H747" s="216"/>
      <c r="L747" s="216"/>
      <c r="N747" s="222"/>
    </row>
    <row r="748" spans="1:14" ht="12.75" customHeight="1" x14ac:dyDescent="0.25">
      <c r="A748" s="222"/>
      <c r="B748" s="222"/>
      <c r="C748" s="216"/>
      <c r="D748" s="216"/>
      <c r="E748" s="216"/>
      <c r="F748" s="216"/>
      <c r="G748" s="216"/>
      <c r="H748" s="216"/>
      <c r="L748" s="216"/>
      <c r="N748" s="222"/>
    </row>
    <row r="749" spans="1:14" ht="12.75" customHeight="1" x14ac:dyDescent="0.25">
      <c r="A749" s="222"/>
      <c r="B749" s="222"/>
      <c r="C749" s="216"/>
      <c r="D749" s="216"/>
      <c r="E749" s="216"/>
      <c r="F749" s="216"/>
      <c r="G749" s="216"/>
      <c r="H749" s="216"/>
      <c r="L749" s="216"/>
      <c r="N749" s="222"/>
    </row>
    <row r="750" spans="1:14" ht="12.75" customHeight="1" x14ac:dyDescent="0.25">
      <c r="A750" s="222"/>
      <c r="B750" s="222"/>
      <c r="C750" s="216"/>
      <c r="D750" s="216"/>
      <c r="E750" s="216"/>
      <c r="F750" s="216"/>
      <c r="G750" s="216"/>
      <c r="H750" s="216"/>
      <c r="L750" s="216"/>
      <c r="N750" s="222"/>
    </row>
    <row r="751" spans="1:14" ht="12.75" customHeight="1" x14ac:dyDescent="0.25">
      <c r="A751" s="222"/>
      <c r="B751" s="222"/>
      <c r="C751" s="216"/>
      <c r="D751" s="216"/>
      <c r="E751" s="216"/>
      <c r="F751" s="216"/>
      <c r="G751" s="216"/>
      <c r="H751" s="216"/>
      <c r="L751" s="216"/>
      <c r="N751" s="222"/>
    </row>
    <row r="752" spans="1:14" ht="12.75" customHeight="1" x14ac:dyDescent="0.25">
      <c r="A752" s="222"/>
      <c r="B752" s="222"/>
      <c r="C752" s="216"/>
      <c r="D752" s="216"/>
      <c r="E752" s="216"/>
      <c r="F752" s="216"/>
      <c r="G752" s="216"/>
      <c r="H752" s="216"/>
      <c r="L752" s="216"/>
      <c r="N752" s="222"/>
    </row>
    <row r="753" spans="1:14" ht="12.75" customHeight="1" x14ac:dyDescent="0.25">
      <c r="A753" s="222"/>
      <c r="B753" s="222"/>
      <c r="C753" s="216"/>
      <c r="D753" s="216"/>
      <c r="E753" s="216"/>
      <c r="F753" s="216"/>
      <c r="G753" s="216"/>
      <c r="H753" s="216"/>
      <c r="L753" s="216"/>
      <c r="N753" s="222"/>
    </row>
    <row r="754" spans="1:14" ht="12.75" customHeight="1" x14ac:dyDescent="0.25">
      <c r="A754" s="222"/>
      <c r="B754" s="222"/>
      <c r="C754" s="216"/>
      <c r="D754" s="216"/>
      <c r="E754" s="216"/>
      <c r="F754" s="216"/>
      <c r="G754" s="216"/>
      <c r="H754" s="216"/>
      <c r="L754" s="216"/>
      <c r="N754" s="222"/>
    </row>
    <row r="755" spans="1:14" ht="12.75" customHeight="1" x14ac:dyDescent="0.25">
      <c r="A755" s="222"/>
      <c r="B755" s="222"/>
      <c r="C755" s="216"/>
      <c r="D755" s="216"/>
      <c r="E755" s="216"/>
      <c r="F755" s="216"/>
      <c r="G755" s="216"/>
      <c r="H755" s="216"/>
      <c r="L755" s="216"/>
      <c r="N755" s="222"/>
    </row>
    <row r="756" spans="1:14" ht="12.75" customHeight="1" x14ac:dyDescent="0.25">
      <c r="A756" s="222"/>
      <c r="B756" s="222"/>
      <c r="C756" s="216"/>
      <c r="D756" s="216"/>
      <c r="E756" s="216"/>
      <c r="F756" s="216"/>
      <c r="G756" s="216"/>
      <c r="H756" s="216"/>
      <c r="L756" s="216"/>
      <c r="N756" s="222"/>
    </row>
    <row r="757" spans="1:14" ht="12.75" customHeight="1" x14ac:dyDescent="0.25">
      <c r="A757" s="222"/>
      <c r="B757" s="222"/>
      <c r="C757" s="216"/>
      <c r="D757" s="216"/>
      <c r="E757" s="216"/>
      <c r="F757" s="216"/>
      <c r="G757" s="216"/>
      <c r="H757" s="216"/>
      <c r="L757" s="216"/>
      <c r="N757" s="222"/>
    </row>
    <row r="758" spans="1:14" ht="12.75" customHeight="1" x14ac:dyDescent="0.25">
      <c r="A758" s="222"/>
      <c r="B758" s="222"/>
      <c r="C758" s="216"/>
      <c r="D758" s="216"/>
      <c r="E758" s="216"/>
      <c r="F758" s="216"/>
      <c r="G758" s="216"/>
      <c r="H758" s="216"/>
      <c r="L758" s="216"/>
      <c r="N758" s="222"/>
    </row>
    <row r="759" spans="1:14" ht="12.75" customHeight="1" x14ac:dyDescent="0.25">
      <c r="A759" s="222"/>
      <c r="B759" s="222"/>
      <c r="C759" s="216"/>
      <c r="D759" s="216"/>
      <c r="E759" s="216"/>
      <c r="F759" s="216"/>
      <c r="G759" s="216"/>
      <c r="H759" s="216"/>
      <c r="L759" s="216"/>
      <c r="N759" s="222"/>
    </row>
    <row r="760" spans="1:14" ht="12.75" customHeight="1" x14ac:dyDescent="0.25">
      <c r="A760" s="222"/>
      <c r="B760" s="222"/>
      <c r="C760" s="216"/>
      <c r="D760" s="216"/>
      <c r="E760" s="216"/>
      <c r="F760" s="216"/>
      <c r="G760" s="216"/>
      <c r="H760" s="216"/>
      <c r="L760" s="216"/>
      <c r="N760" s="222"/>
    </row>
    <row r="761" spans="1:14" ht="12.75" customHeight="1" x14ac:dyDescent="0.25">
      <c r="A761" s="222"/>
      <c r="B761" s="222"/>
      <c r="C761" s="216"/>
      <c r="D761" s="216"/>
      <c r="E761" s="216"/>
      <c r="F761" s="216"/>
      <c r="G761" s="216"/>
      <c r="H761" s="216"/>
      <c r="L761" s="216"/>
      <c r="N761" s="222"/>
    </row>
    <row r="762" spans="1:14" ht="12.75" customHeight="1" x14ac:dyDescent="0.25">
      <c r="A762" s="222"/>
      <c r="B762" s="222"/>
      <c r="C762" s="216"/>
      <c r="D762" s="216"/>
      <c r="E762" s="216"/>
      <c r="F762" s="216"/>
      <c r="G762" s="216"/>
      <c r="H762" s="216"/>
      <c r="L762" s="216"/>
      <c r="N762" s="222"/>
    </row>
    <row r="763" spans="1:14" ht="12.75" customHeight="1" x14ac:dyDescent="0.25">
      <c r="A763" s="222"/>
      <c r="B763" s="222"/>
      <c r="C763" s="216"/>
      <c r="D763" s="216"/>
      <c r="E763" s="216"/>
      <c r="F763" s="216"/>
      <c r="G763" s="216"/>
      <c r="H763" s="216"/>
      <c r="L763" s="216"/>
      <c r="N763" s="222"/>
    </row>
    <row r="764" spans="1:14" ht="12.75" customHeight="1" x14ac:dyDescent="0.25">
      <c r="A764" s="222"/>
      <c r="B764" s="222"/>
      <c r="C764" s="216"/>
      <c r="D764" s="216"/>
      <c r="E764" s="216"/>
      <c r="F764" s="216"/>
      <c r="G764" s="216"/>
      <c r="H764" s="216"/>
      <c r="L764" s="216"/>
      <c r="N764" s="222"/>
    </row>
    <row r="765" spans="1:14" ht="12.75" customHeight="1" x14ac:dyDescent="0.25">
      <c r="A765" s="222"/>
      <c r="B765" s="222"/>
      <c r="C765" s="216"/>
      <c r="D765" s="216"/>
      <c r="E765" s="216"/>
      <c r="F765" s="216"/>
      <c r="G765" s="216"/>
      <c r="H765" s="216"/>
      <c r="L765" s="216"/>
      <c r="N765" s="222"/>
    </row>
    <row r="766" spans="1:14" ht="12.75" customHeight="1" x14ac:dyDescent="0.25">
      <c r="A766" s="222"/>
      <c r="B766" s="222"/>
      <c r="C766" s="216"/>
      <c r="D766" s="216"/>
      <c r="E766" s="216"/>
      <c r="F766" s="216"/>
      <c r="G766" s="216"/>
      <c r="H766" s="216"/>
      <c r="L766" s="216"/>
      <c r="N766" s="222"/>
    </row>
    <row r="767" spans="1:14" ht="12.75" customHeight="1" x14ac:dyDescent="0.25">
      <c r="A767" s="222"/>
      <c r="B767" s="222"/>
      <c r="C767" s="216"/>
      <c r="D767" s="216"/>
      <c r="E767" s="216"/>
      <c r="F767" s="216"/>
      <c r="G767" s="216"/>
      <c r="H767" s="216"/>
      <c r="L767" s="216"/>
      <c r="N767" s="222"/>
    </row>
    <row r="768" spans="1:14" ht="12.75" customHeight="1" x14ac:dyDescent="0.25">
      <c r="A768" s="222"/>
      <c r="B768" s="222"/>
      <c r="C768" s="216"/>
      <c r="D768" s="216"/>
      <c r="E768" s="216"/>
      <c r="F768" s="216"/>
      <c r="G768" s="216"/>
      <c r="H768" s="216"/>
      <c r="L768" s="216"/>
      <c r="N768" s="222"/>
    </row>
    <row r="769" spans="1:14" ht="12.75" customHeight="1" x14ac:dyDescent="0.25">
      <c r="A769" s="222"/>
      <c r="B769" s="222"/>
      <c r="C769" s="216"/>
      <c r="D769" s="216"/>
      <c r="E769" s="216"/>
      <c r="F769" s="216"/>
      <c r="G769" s="216"/>
      <c r="H769" s="216"/>
      <c r="L769" s="216"/>
      <c r="N769" s="222"/>
    </row>
    <row r="770" spans="1:14" ht="12.75" customHeight="1" x14ac:dyDescent="0.25">
      <c r="A770" s="222"/>
      <c r="B770" s="222"/>
      <c r="C770" s="216"/>
      <c r="D770" s="216"/>
      <c r="E770" s="216"/>
      <c r="F770" s="216"/>
      <c r="G770" s="216"/>
      <c r="H770" s="216"/>
      <c r="L770" s="216"/>
      <c r="N770" s="222"/>
    </row>
    <row r="771" spans="1:14" ht="12.75" customHeight="1" x14ac:dyDescent="0.25">
      <c r="A771" s="222"/>
      <c r="B771" s="222"/>
      <c r="C771" s="216"/>
      <c r="D771" s="216"/>
      <c r="E771" s="216"/>
      <c r="F771" s="216"/>
      <c r="G771" s="216"/>
      <c r="H771" s="216"/>
      <c r="L771" s="216"/>
      <c r="N771" s="222"/>
    </row>
    <row r="772" spans="1:14" ht="12.75" customHeight="1" x14ac:dyDescent="0.25">
      <c r="A772" s="222"/>
      <c r="B772" s="222"/>
      <c r="C772" s="216"/>
      <c r="D772" s="216"/>
      <c r="E772" s="216"/>
      <c r="F772" s="216"/>
      <c r="G772" s="216"/>
      <c r="H772" s="216"/>
      <c r="L772" s="216"/>
      <c r="N772" s="222"/>
    </row>
    <row r="773" spans="1:14" ht="12.75" customHeight="1" x14ac:dyDescent="0.25">
      <c r="A773" s="222"/>
      <c r="B773" s="222"/>
      <c r="C773" s="216"/>
      <c r="D773" s="216"/>
      <c r="E773" s="216"/>
      <c r="F773" s="216"/>
      <c r="G773" s="216"/>
      <c r="H773" s="216"/>
      <c r="L773" s="216"/>
      <c r="N773" s="222"/>
    </row>
    <row r="774" spans="1:14" ht="12.75" customHeight="1" x14ac:dyDescent="0.25">
      <c r="A774" s="222"/>
      <c r="B774" s="222"/>
      <c r="C774" s="216"/>
      <c r="D774" s="216"/>
      <c r="E774" s="216"/>
      <c r="F774" s="216"/>
      <c r="G774" s="216"/>
      <c r="H774" s="216"/>
      <c r="L774" s="216"/>
      <c r="N774" s="222"/>
    </row>
    <row r="775" spans="1:14" ht="12.75" customHeight="1" x14ac:dyDescent="0.25">
      <c r="A775" s="222"/>
      <c r="B775" s="222"/>
      <c r="C775" s="216"/>
      <c r="D775" s="216"/>
      <c r="E775" s="216"/>
      <c r="F775" s="216"/>
      <c r="G775" s="216"/>
      <c r="H775" s="216"/>
      <c r="L775" s="216"/>
      <c r="N775" s="222"/>
    </row>
    <row r="776" spans="1:14" ht="12.75" customHeight="1" x14ac:dyDescent="0.25">
      <c r="A776" s="222"/>
      <c r="B776" s="222"/>
      <c r="C776" s="216"/>
      <c r="D776" s="216"/>
      <c r="E776" s="216"/>
      <c r="F776" s="216"/>
      <c r="G776" s="216"/>
      <c r="H776" s="216"/>
      <c r="L776" s="216"/>
      <c r="N776" s="222"/>
    </row>
    <row r="777" spans="1:14" ht="12.75" customHeight="1" x14ac:dyDescent="0.25">
      <c r="A777" s="222"/>
      <c r="B777" s="222"/>
      <c r="C777" s="216"/>
      <c r="D777" s="216"/>
      <c r="E777" s="216"/>
      <c r="F777" s="216"/>
      <c r="G777" s="216"/>
      <c r="H777" s="216"/>
      <c r="L777" s="216"/>
      <c r="N777" s="222"/>
    </row>
    <row r="778" spans="1:14" ht="12.75" customHeight="1" x14ac:dyDescent="0.25">
      <c r="A778" s="222"/>
      <c r="B778" s="222"/>
      <c r="C778" s="216"/>
      <c r="D778" s="216"/>
      <c r="E778" s="216"/>
      <c r="F778" s="216"/>
      <c r="G778" s="216"/>
      <c r="H778" s="216"/>
      <c r="L778" s="216"/>
      <c r="N778" s="222"/>
    </row>
    <row r="779" spans="1:14" ht="12.75" customHeight="1" x14ac:dyDescent="0.25">
      <c r="A779" s="222"/>
      <c r="B779" s="222"/>
      <c r="C779" s="216"/>
      <c r="D779" s="216"/>
      <c r="E779" s="216"/>
      <c r="F779" s="216"/>
      <c r="G779" s="216"/>
      <c r="H779" s="216"/>
      <c r="L779" s="216"/>
      <c r="N779" s="222"/>
    </row>
    <row r="780" spans="1:14" ht="12.75" customHeight="1" x14ac:dyDescent="0.25">
      <c r="A780" s="222"/>
      <c r="B780" s="222"/>
      <c r="C780" s="216"/>
      <c r="D780" s="216"/>
      <c r="E780" s="216"/>
      <c r="F780" s="216"/>
      <c r="G780" s="216"/>
      <c r="H780" s="216"/>
      <c r="L780" s="216"/>
      <c r="N780" s="222"/>
    </row>
    <row r="781" spans="1:14" ht="12.75" customHeight="1" x14ac:dyDescent="0.25">
      <c r="A781" s="222"/>
      <c r="B781" s="222"/>
      <c r="C781" s="216"/>
      <c r="D781" s="216"/>
      <c r="E781" s="216"/>
      <c r="F781" s="216"/>
      <c r="G781" s="216"/>
      <c r="H781" s="216"/>
      <c r="L781" s="216"/>
      <c r="N781" s="222"/>
    </row>
    <row r="782" spans="1:14" ht="12.75" customHeight="1" x14ac:dyDescent="0.25">
      <c r="A782" s="222"/>
      <c r="B782" s="222"/>
      <c r="C782" s="216"/>
      <c r="D782" s="216"/>
      <c r="E782" s="216"/>
      <c r="F782" s="216"/>
      <c r="G782" s="216"/>
      <c r="H782" s="216"/>
      <c r="L782" s="216"/>
      <c r="N782" s="222"/>
    </row>
    <row r="783" spans="1:14" ht="12.75" customHeight="1" x14ac:dyDescent="0.25">
      <c r="A783" s="222"/>
      <c r="B783" s="222"/>
      <c r="C783" s="216"/>
      <c r="D783" s="216"/>
      <c r="E783" s="216"/>
      <c r="F783" s="216"/>
      <c r="G783" s="216"/>
      <c r="H783" s="216"/>
      <c r="L783" s="216"/>
      <c r="N783" s="222"/>
    </row>
    <row r="784" spans="1:14" ht="12.75" customHeight="1" x14ac:dyDescent="0.25">
      <c r="A784" s="222"/>
      <c r="B784" s="222"/>
      <c r="C784" s="216"/>
      <c r="D784" s="216"/>
      <c r="E784" s="216"/>
      <c r="F784" s="216"/>
      <c r="G784" s="216"/>
      <c r="H784" s="216"/>
      <c r="L784" s="216"/>
      <c r="N784" s="222"/>
    </row>
    <row r="785" spans="1:14" ht="12.75" customHeight="1" x14ac:dyDescent="0.25">
      <c r="A785" s="222"/>
      <c r="B785" s="222"/>
      <c r="C785" s="216"/>
      <c r="D785" s="216"/>
      <c r="E785" s="216"/>
      <c r="F785" s="216"/>
      <c r="G785" s="216"/>
      <c r="H785" s="216"/>
      <c r="L785" s="216"/>
      <c r="N785" s="222"/>
    </row>
    <row r="786" spans="1:14" ht="12.75" customHeight="1" x14ac:dyDescent="0.25">
      <c r="A786" s="222"/>
      <c r="B786" s="222"/>
      <c r="C786" s="216"/>
      <c r="D786" s="216"/>
      <c r="E786" s="216"/>
      <c r="F786" s="216"/>
      <c r="G786" s="216"/>
      <c r="H786" s="216"/>
      <c r="L786" s="216"/>
      <c r="N786" s="222"/>
    </row>
    <row r="787" spans="1:14" ht="12.75" customHeight="1" x14ac:dyDescent="0.25">
      <c r="A787" s="222"/>
      <c r="B787" s="222"/>
      <c r="C787" s="216"/>
      <c r="D787" s="216"/>
      <c r="E787" s="216"/>
      <c r="F787" s="216"/>
      <c r="G787" s="216"/>
      <c r="H787" s="216"/>
      <c r="L787" s="216"/>
      <c r="N787" s="222"/>
    </row>
    <row r="788" spans="1:14" ht="12.75" customHeight="1" x14ac:dyDescent="0.25">
      <c r="A788" s="222"/>
      <c r="B788" s="222"/>
      <c r="C788" s="216"/>
      <c r="D788" s="216"/>
      <c r="E788" s="216"/>
      <c r="F788" s="216"/>
      <c r="G788" s="216"/>
      <c r="H788" s="216"/>
      <c r="L788" s="216"/>
      <c r="N788" s="222"/>
    </row>
    <row r="789" spans="1:14" ht="12.75" customHeight="1" x14ac:dyDescent="0.25">
      <c r="A789" s="222"/>
      <c r="B789" s="222"/>
      <c r="C789" s="216"/>
      <c r="D789" s="216"/>
      <c r="E789" s="216"/>
      <c r="F789" s="216"/>
      <c r="G789" s="216"/>
      <c r="H789" s="216"/>
      <c r="L789" s="216"/>
      <c r="N789" s="222"/>
    </row>
    <row r="790" spans="1:14" ht="12.75" customHeight="1" x14ac:dyDescent="0.25">
      <c r="A790" s="222"/>
      <c r="B790" s="222"/>
      <c r="C790" s="216"/>
      <c r="D790" s="216"/>
      <c r="E790" s="216"/>
      <c r="F790" s="216"/>
      <c r="G790" s="216"/>
      <c r="H790" s="216"/>
      <c r="L790" s="216"/>
      <c r="N790" s="222"/>
    </row>
    <row r="791" spans="1:14" ht="12.75" customHeight="1" x14ac:dyDescent="0.25">
      <c r="A791" s="222"/>
      <c r="B791" s="222"/>
      <c r="C791" s="216"/>
      <c r="D791" s="216"/>
      <c r="E791" s="216"/>
      <c r="F791" s="216"/>
      <c r="G791" s="216"/>
      <c r="H791" s="216"/>
      <c r="L791" s="216"/>
      <c r="N791" s="222"/>
    </row>
    <row r="792" spans="1:14" ht="12.75" customHeight="1" x14ac:dyDescent="0.25">
      <c r="A792" s="222"/>
      <c r="B792" s="222"/>
      <c r="C792" s="216"/>
      <c r="D792" s="216"/>
      <c r="E792" s="216"/>
      <c r="F792" s="216"/>
      <c r="G792" s="216"/>
      <c r="H792" s="216"/>
      <c r="L792" s="216"/>
      <c r="N792" s="222"/>
    </row>
    <row r="793" spans="1:14" ht="12.75" customHeight="1" x14ac:dyDescent="0.25">
      <c r="A793" s="222"/>
      <c r="B793" s="222"/>
      <c r="C793" s="216"/>
      <c r="D793" s="216"/>
      <c r="E793" s="216"/>
      <c r="F793" s="216"/>
      <c r="G793" s="216"/>
      <c r="H793" s="216"/>
      <c r="L793" s="216"/>
      <c r="N793" s="222"/>
    </row>
    <row r="794" spans="1:14" ht="12.75" customHeight="1" x14ac:dyDescent="0.25">
      <c r="A794" s="222"/>
      <c r="B794" s="222"/>
      <c r="C794" s="216"/>
      <c r="D794" s="216"/>
      <c r="E794" s="216"/>
      <c r="F794" s="216"/>
      <c r="G794" s="216"/>
      <c r="H794" s="216"/>
      <c r="L794" s="216"/>
      <c r="N794" s="222"/>
    </row>
    <row r="795" spans="1:14" ht="12.75" customHeight="1" x14ac:dyDescent="0.25">
      <c r="A795" s="222"/>
      <c r="B795" s="222"/>
      <c r="C795" s="216"/>
      <c r="D795" s="216"/>
      <c r="E795" s="216"/>
      <c r="F795" s="216"/>
      <c r="G795" s="216"/>
      <c r="H795" s="216"/>
      <c r="L795" s="216"/>
      <c r="N795" s="222"/>
    </row>
    <row r="796" spans="1:14" ht="12.75" customHeight="1" x14ac:dyDescent="0.25">
      <c r="A796" s="222"/>
      <c r="B796" s="222"/>
      <c r="C796" s="216"/>
      <c r="D796" s="216"/>
      <c r="E796" s="216"/>
      <c r="F796" s="216"/>
      <c r="G796" s="216"/>
      <c r="H796" s="216"/>
      <c r="L796" s="216"/>
      <c r="N796" s="222"/>
    </row>
    <row r="797" spans="1:14" ht="12.75" customHeight="1" x14ac:dyDescent="0.25">
      <c r="A797" s="222"/>
      <c r="B797" s="222"/>
      <c r="C797" s="216"/>
      <c r="D797" s="216"/>
      <c r="E797" s="216"/>
      <c r="F797" s="216"/>
      <c r="G797" s="216"/>
      <c r="H797" s="216"/>
      <c r="L797" s="216"/>
      <c r="N797" s="222"/>
    </row>
    <row r="798" spans="1:14" ht="12.75" customHeight="1" x14ac:dyDescent="0.25">
      <c r="A798" s="222"/>
      <c r="B798" s="222"/>
      <c r="C798" s="216"/>
      <c r="D798" s="216"/>
      <c r="E798" s="216"/>
      <c r="F798" s="216"/>
      <c r="G798" s="216"/>
      <c r="H798" s="216"/>
      <c r="L798" s="216"/>
      <c r="N798" s="222"/>
    </row>
    <row r="799" spans="1:14" ht="12.75" customHeight="1" x14ac:dyDescent="0.25">
      <c r="A799" s="222"/>
      <c r="B799" s="222"/>
      <c r="C799" s="216"/>
      <c r="D799" s="216"/>
      <c r="E799" s="216"/>
      <c r="F799" s="216"/>
      <c r="G799" s="216"/>
      <c r="H799" s="216"/>
      <c r="L799" s="216"/>
      <c r="N799" s="222"/>
    </row>
    <row r="800" spans="1:14" ht="12.75" customHeight="1" x14ac:dyDescent="0.25">
      <c r="A800" s="222"/>
      <c r="B800" s="222"/>
      <c r="C800" s="216"/>
      <c r="D800" s="216"/>
      <c r="E800" s="216"/>
      <c r="F800" s="216"/>
      <c r="G800" s="216"/>
      <c r="H800" s="216"/>
      <c r="L800" s="216"/>
      <c r="N800" s="222"/>
    </row>
    <row r="801" spans="1:14" ht="12.75" customHeight="1" x14ac:dyDescent="0.25">
      <c r="A801" s="222"/>
      <c r="B801" s="222"/>
      <c r="C801" s="216"/>
      <c r="D801" s="216"/>
      <c r="E801" s="216"/>
      <c r="F801" s="216"/>
      <c r="G801" s="216"/>
      <c r="H801" s="216"/>
      <c r="L801" s="216"/>
      <c r="N801" s="222"/>
    </row>
    <row r="802" spans="1:14" ht="12.75" customHeight="1" x14ac:dyDescent="0.25">
      <c r="A802" s="222"/>
      <c r="B802" s="222"/>
      <c r="C802" s="216"/>
      <c r="D802" s="216"/>
      <c r="E802" s="216"/>
      <c r="F802" s="216"/>
      <c r="G802" s="216"/>
      <c r="H802" s="216"/>
      <c r="L802" s="216"/>
      <c r="N802" s="222"/>
    </row>
    <row r="803" spans="1:14" ht="12.75" customHeight="1" x14ac:dyDescent="0.25">
      <c r="A803" s="222"/>
      <c r="B803" s="222"/>
      <c r="C803" s="216"/>
      <c r="D803" s="216"/>
      <c r="E803" s="216"/>
      <c r="F803" s="216"/>
      <c r="G803" s="216"/>
      <c r="H803" s="216"/>
      <c r="L803" s="216"/>
      <c r="N803" s="222"/>
    </row>
    <row r="804" spans="1:14" ht="12.75" customHeight="1" x14ac:dyDescent="0.25">
      <c r="A804" s="222"/>
      <c r="B804" s="222"/>
      <c r="C804" s="216"/>
      <c r="D804" s="216"/>
      <c r="E804" s="216"/>
      <c r="F804" s="216"/>
      <c r="G804" s="216"/>
      <c r="H804" s="216"/>
      <c r="L804" s="216"/>
      <c r="N804" s="222"/>
    </row>
    <row r="805" spans="1:14" ht="12.75" customHeight="1" x14ac:dyDescent="0.25">
      <c r="A805" s="222"/>
      <c r="B805" s="222"/>
      <c r="C805" s="216"/>
      <c r="D805" s="216"/>
      <c r="E805" s="216"/>
      <c r="F805" s="216"/>
      <c r="G805" s="216"/>
      <c r="H805" s="216"/>
      <c r="L805" s="216"/>
      <c r="N805" s="222"/>
    </row>
    <row r="806" spans="1:14" ht="12.75" customHeight="1" x14ac:dyDescent="0.25">
      <c r="A806" s="222"/>
      <c r="B806" s="222"/>
      <c r="C806" s="216"/>
      <c r="D806" s="216"/>
      <c r="E806" s="216"/>
      <c r="F806" s="216"/>
      <c r="G806" s="216"/>
      <c r="H806" s="216"/>
      <c r="L806" s="216"/>
      <c r="N806" s="222"/>
    </row>
    <row r="807" spans="1:14" ht="12.75" customHeight="1" x14ac:dyDescent="0.25">
      <c r="A807" s="222"/>
      <c r="B807" s="222"/>
      <c r="C807" s="216"/>
      <c r="D807" s="216"/>
      <c r="E807" s="216"/>
      <c r="F807" s="216"/>
      <c r="G807" s="216"/>
      <c r="H807" s="216"/>
      <c r="L807" s="216"/>
      <c r="N807" s="222"/>
    </row>
    <row r="808" spans="1:14" ht="12.75" customHeight="1" x14ac:dyDescent="0.25">
      <c r="A808" s="222"/>
      <c r="B808" s="222"/>
      <c r="C808" s="216"/>
      <c r="D808" s="216"/>
      <c r="E808" s="216"/>
      <c r="F808" s="216"/>
      <c r="G808" s="216"/>
      <c r="H808" s="216"/>
      <c r="L808" s="216"/>
      <c r="N808" s="222"/>
    </row>
    <row r="809" spans="1:14" ht="12.75" customHeight="1" x14ac:dyDescent="0.25">
      <c r="A809" s="222"/>
      <c r="B809" s="222"/>
      <c r="C809" s="216"/>
      <c r="D809" s="216"/>
      <c r="E809" s="216"/>
      <c r="F809" s="216"/>
      <c r="G809" s="216"/>
      <c r="H809" s="216"/>
      <c r="L809" s="216"/>
      <c r="N809" s="222"/>
    </row>
    <row r="810" spans="1:14" ht="12.75" customHeight="1" x14ac:dyDescent="0.25">
      <c r="A810" s="222"/>
      <c r="B810" s="222"/>
      <c r="C810" s="216"/>
      <c r="D810" s="216"/>
      <c r="E810" s="216"/>
      <c r="F810" s="216"/>
      <c r="G810" s="216"/>
      <c r="H810" s="216"/>
      <c r="L810" s="216"/>
      <c r="N810" s="222"/>
    </row>
    <row r="811" spans="1:14" ht="12.75" customHeight="1" x14ac:dyDescent="0.25">
      <c r="A811" s="222"/>
      <c r="B811" s="222"/>
      <c r="C811" s="216"/>
      <c r="D811" s="216"/>
      <c r="E811" s="216"/>
      <c r="F811" s="216"/>
      <c r="G811" s="216"/>
      <c r="H811" s="216"/>
      <c r="L811" s="216"/>
      <c r="N811" s="222"/>
    </row>
    <row r="812" spans="1:14" ht="12.75" customHeight="1" x14ac:dyDescent="0.25">
      <c r="A812" s="222"/>
      <c r="B812" s="222"/>
      <c r="C812" s="216"/>
      <c r="D812" s="216"/>
      <c r="E812" s="216"/>
      <c r="F812" s="216"/>
      <c r="G812" s="216"/>
      <c r="H812" s="216"/>
      <c r="L812" s="216"/>
      <c r="N812" s="222"/>
    </row>
    <row r="813" spans="1:14" ht="12.75" customHeight="1" x14ac:dyDescent="0.25">
      <c r="A813" s="222"/>
      <c r="B813" s="222"/>
      <c r="C813" s="216"/>
      <c r="D813" s="216"/>
      <c r="E813" s="216"/>
      <c r="F813" s="216"/>
      <c r="G813" s="216"/>
      <c r="H813" s="216"/>
      <c r="L813" s="216"/>
      <c r="N813" s="222"/>
    </row>
    <row r="814" spans="1:14" ht="12.75" customHeight="1" x14ac:dyDescent="0.25">
      <c r="A814" s="222"/>
      <c r="B814" s="222"/>
      <c r="C814" s="216"/>
      <c r="D814" s="216"/>
      <c r="E814" s="216"/>
      <c r="F814" s="216"/>
      <c r="G814" s="216"/>
      <c r="H814" s="216"/>
      <c r="L814" s="216"/>
      <c r="N814" s="222"/>
    </row>
    <row r="815" spans="1:14" ht="12.75" customHeight="1" x14ac:dyDescent="0.25">
      <c r="A815" s="222"/>
      <c r="B815" s="222"/>
      <c r="C815" s="216"/>
      <c r="D815" s="216"/>
      <c r="E815" s="216"/>
      <c r="F815" s="216"/>
      <c r="G815" s="216"/>
      <c r="H815" s="216"/>
      <c r="L815" s="216"/>
      <c r="N815" s="222"/>
    </row>
    <row r="816" spans="1:14" ht="12.75" customHeight="1" x14ac:dyDescent="0.25">
      <c r="A816" s="222"/>
      <c r="B816" s="222"/>
      <c r="C816" s="216"/>
      <c r="D816" s="216"/>
      <c r="E816" s="216"/>
      <c r="F816" s="216"/>
      <c r="G816" s="216"/>
      <c r="H816" s="216"/>
      <c r="L816" s="216"/>
      <c r="N816" s="222"/>
    </row>
    <row r="817" spans="1:14" ht="12.75" customHeight="1" x14ac:dyDescent="0.25">
      <c r="A817" s="222"/>
      <c r="B817" s="222"/>
      <c r="C817" s="216"/>
      <c r="D817" s="216"/>
      <c r="E817" s="216"/>
      <c r="F817" s="216"/>
      <c r="G817" s="216"/>
      <c r="H817" s="216"/>
      <c r="L817" s="216"/>
      <c r="N817" s="222"/>
    </row>
    <row r="818" spans="1:14" ht="12.75" customHeight="1" x14ac:dyDescent="0.25">
      <c r="A818" s="222"/>
      <c r="B818" s="222"/>
      <c r="C818" s="216"/>
      <c r="D818" s="216"/>
      <c r="E818" s="216"/>
      <c r="F818" s="216"/>
      <c r="G818" s="216"/>
      <c r="H818" s="216"/>
      <c r="L818" s="216"/>
      <c r="N818" s="222"/>
    </row>
    <row r="819" spans="1:14" ht="12.75" customHeight="1" x14ac:dyDescent="0.25">
      <c r="A819" s="222"/>
      <c r="B819" s="222"/>
      <c r="C819" s="216"/>
      <c r="D819" s="216"/>
      <c r="E819" s="216"/>
      <c r="F819" s="216"/>
      <c r="G819" s="216"/>
      <c r="H819" s="216"/>
      <c r="L819" s="216"/>
      <c r="N819" s="222"/>
    </row>
    <row r="820" spans="1:14" ht="12.75" customHeight="1" x14ac:dyDescent="0.25">
      <c r="A820" s="222"/>
      <c r="B820" s="222"/>
      <c r="C820" s="216"/>
      <c r="D820" s="216"/>
      <c r="E820" s="216"/>
      <c r="F820" s="216"/>
      <c r="G820" s="216"/>
      <c r="H820" s="216"/>
      <c r="L820" s="216"/>
      <c r="N820" s="222"/>
    </row>
    <row r="821" spans="1:14" ht="12.75" customHeight="1" x14ac:dyDescent="0.25">
      <c r="A821" s="222"/>
      <c r="B821" s="222"/>
      <c r="C821" s="216"/>
      <c r="D821" s="216"/>
      <c r="E821" s="216"/>
      <c r="F821" s="216"/>
      <c r="G821" s="216"/>
      <c r="H821" s="216"/>
      <c r="L821" s="216"/>
      <c r="N821" s="222"/>
    </row>
    <row r="822" spans="1:14" ht="12.75" customHeight="1" x14ac:dyDescent="0.25">
      <c r="A822" s="222"/>
      <c r="B822" s="222"/>
      <c r="C822" s="216"/>
      <c r="D822" s="216"/>
      <c r="E822" s="216"/>
      <c r="F822" s="216"/>
      <c r="G822" s="216"/>
      <c r="H822" s="216"/>
      <c r="L822" s="216"/>
      <c r="N822" s="222"/>
    </row>
    <row r="823" spans="1:14" ht="12.75" customHeight="1" x14ac:dyDescent="0.25">
      <c r="A823" s="222"/>
      <c r="B823" s="222"/>
      <c r="C823" s="216"/>
      <c r="D823" s="216"/>
      <c r="E823" s="216"/>
      <c r="F823" s="216"/>
      <c r="G823" s="216"/>
      <c r="H823" s="216"/>
      <c r="L823" s="216"/>
      <c r="N823" s="222"/>
    </row>
    <row r="824" spans="1:14" ht="12.75" customHeight="1" x14ac:dyDescent="0.25">
      <c r="A824" s="222"/>
      <c r="B824" s="222"/>
      <c r="C824" s="216"/>
      <c r="D824" s="216"/>
      <c r="E824" s="216"/>
      <c r="F824" s="216"/>
      <c r="G824" s="216"/>
      <c r="H824" s="216"/>
      <c r="L824" s="216"/>
      <c r="N824" s="222"/>
    </row>
    <row r="825" spans="1:14" ht="12.75" customHeight="1" x14ac:dyDescent="0.25">
      <c r="A825" s="222"/>
      <c r="B825" s="222"/>
      <c r="C825" s="216"/>
      <c r="D825" s="216"/>
      <c r="E825" s="216"/>
      <c r="F825" s="216"/>
      <c r="G825" s="216"/>
      <c r="H825" s="216"/>
      <c r="L825" s="216"/>
      <c r="N825" s="222"/>
    </row>
    <row r="826" spans="1:14" ht="12.75" customHeight="1" x14ac:dyDescent="0.25">
      <c r="A826" s="222"/>
      <c r="B826" s="222"/>
      <c r="C826" s="216"/>
      <c r="D826" s="216"/>
      <c r="E826" s="216"/>
      <c r="F826" s="216"/>
      <c r="G826" s="216"/>
      <c r="H826" s="216"/>
      <c r="L826" s="216"/>
      <c r="N826" s="222"/>
    </row>
    <row r="827" spans="1:14" ht="12.75" customHeight="1" x14ac:dyDescent="0.25">
      <c r="A827" s="222"/>
      <c r="B827" s="222"/>
      <c r="C827" s="216"/>
      <c r="D827" s="216"/>
      <c r="E827" s="216"/>
      <c r="F827" s="216"/>
      <c r="G827" s="216"/>
      <c r="H827" s="216"/>
      <c r="L827" s="216"/>
      <c r="N827" s="222"/>
    </row>
    <row r="828" spans="1:14" ht="12.75" customHeight="1" x14ac:dyDescent="0.25">
      <c r="A828" s="222"/>
      <c r="B828" s="222"/>
      <c r="C828" s="216"/>
      <c r="D828" s="216"/>
      <c r="E828" s="216"/>
      <c r="F828" s="216"/>
      <c r="G828" s="216"/>
      <c r="H828" s="216"/>
      <c r="L828" s="216"/>
      <c r="N828" s="222"/>
    </row>
    <row r="829" spans="1:14" ht="12.75" customHeight="1" x14ac:dyDescent="0.25">
      <c r="A829" s="222"/>
      <c r="B829" s="222"/>
      <c r="C829" s="216"/>
      <c r="D829" s="216"/>
      <c r="E829" s="216"/>
      <c r="F829" s="216"/>
      <c r="G829" s="216"/>
      <c r="H829" s="216"/>
      <c r="L829" s="216"/>
      <c r="N829" s="222"/>
    </row>
    <row r="830" spans="1:14" ht="12.75" customHeight="1" x14ac:dyDescent="0.25">
      <c r="A830" s="222"/>
      <c r="B830" s="222"/>
      <c r="C830" s="216"/>
      <c r="D830" s="216"/>
      <c r="E830" s="216"/>
      <c r="F830" s="216"/>
      <c r="G830" s="216"/>
      <c r="H830" s="216"/>
      <c r="L830" s="216"/>
      <c r="N830" s="222"/>
    </row>
    <row r="831" spans="1:14" ht="12.75" customHeight="1" x14ac:dyDescent="0.25">
      <c r="A831" s="222"/>
      <c r="B831" s="222"/>
      <c r="C831" s="216"/>
      <c r="D831" s="216"/>
      <c r="E831" s="216"/>
      <c r="F831" s="216"/>
      <c r="G831" s="216"/>
      <c r="H831" s="216"/>
      <c r="L831" s="216"/>
      <c r="N831" s="222"/>
    </row>
    <row r="832" spans="1:14" ht="12.75" customHeight="1" x14ac:dyDescent="0.25">
      <c r="A832" s="222"/>
      <c r="B832" s="222"/>
      <c r="C832" s="216"/>
      <c r="D832" s="216"/>
      <c r="E832" s="216"/>
      <c r="F832" s="216"/>
      <c r="G832" s="216"/>
      <c r="H832" s="216"/>
      <c r="L832" s="216"/>
      <c r="N832" s="222"/>
    </row>
    <row r="833" spans="1:14" ht="12.75" customHeight="1" x14ac:dyDescent="0.25">
      <c r="A833" s="222"/>
      <c r="B833" s="222"/>
      <c r="C833" s="216"/>
      <c r="D833" s="216"/>
      <c r="E833" s="216"/>
      <c r="F833" s="216"/>
      <c r="G833" s="216"/>
      <c r="H833" s="216"/>
      <c r="L833" s="216"/>
      <c r="N833" s="222"/>
    </row>
    <row r="834" spans="1:14" ht="12.75" customHeight="1" x14ac:dyDescent="0.25">
      <c r="A834" s="222"/>
      <c r="B834" s="222"/>
      <c r="C834" s="216"/>
      <c r="D834" s="216"/>
      <c r="E834" s="216"/>
      <c r="F834" s="216"/>
      <c r="G834" s="216"/>
      <c r="H834" s="216"/>
      <c r="L834" s="216"/>
      <c r="N834" s="222"/>
    </row>
    <row r="835" spans="1:14" ht="12.75" customHeight="1" x14ac:dyDescent="0.25">
      <c r="A835" s="222"/>
      <c r="B835" s="222"/>
      <c r="C835" s="216"/>
      <c r="D835" s="216"/>
      <c r="E835" s="216"/>
      <c r="F835" s="216"/>
      <c r="G835" s="216"/>
      <c r="H835" s="216"/>
      <c r="L835" s="216"/>
      <c r="N835" s="222"/>
    </row>
    <row r="836" spans="1:14" ht="12.75" customHeight="1" x14ac:dyDescent="0.25">
      <c r="A836" s="222"/>
      <c r="B836" s="222"/>
      <c r="C836" s="216"/>
      <c r="D836" s="216"/>
      <c r="E836" s="216"/>
      <c r="F836" s="216"/>
      <c r="G836" s="216"/>
      <c r="H836" s="216"/>
      <c r="L836" s="216"/>
      <c r="N836" s="222"/>
    </row>
    <row r="837" spans="1:14" ht="12.75" customHeight="1" x14ac:dyDescent="0.25">
      <c r="A837" s="222"/>
      <c r="B837" s="222"/>
      <c r="C837" s="216"/>
      <c r="D837" s="216"/>
      <c r="E837" s="216"/>
      <c r="F837" s="216"/>
      <c r="G837" s="216"/>
      <c r="H837" s="216"/>
      <c r="L837" s="216"/>
      <c r="N837" s="222"/>
    </row>
    <row r="838" spans="1:14" ht="12.75" customHeight="1" x14ac:dyDescent="0.25">
      <c r="A838" s="222"/>
      <c r="B838" s="222"/>
      <c r="C838" s="216"/>
      <c r="D838" s="216"/>
      <c r="E838" s="216"/>
      <c r="F838" s="216"/>
      <c r="G838" s="216"/>
      <c r="H838" s="216"/>
      <c r="L838" s="216"/>
      <c r="N838" s="222"/>
    </row>
    <row r="839" spans="1:14" ht="12.75" customHeight="1" x14ac:dyDescent="0.25">
      <c r="A839" s="222"/>
      <c r="B839" s="222"/>
      <c r="C839" s="216"/>
      <c r="D839" s="216"/>
      <c r="E839" s="216"/>
      <c r="F839" s="216"/>
      <c r="G839" s="216"/>
      <c r="H839" s="216"/>
      <c r="L839" s="216"/>
      <c r="N839" s="222"/>
    </row>
    <row r="840" spans="1:14" ht="12.75" customHeight="1" x14ac:dyDescent="0.25">
      <c r="A840" s="222"/>
      <c r="B840" s="222"/>
      <c r="C840" s="216"/>
      <c r="D840" s="216"/>
      <c r="E840" s="216"/>
      <c r="F840" s="216"/>
      <c r="G840" s="216"/>
      <c r="H840" s="216"/>
      <c r="L840" s="216"/>
      <c r="N840" s="222"/>
    </row>
    <row r="841" spans="1:14" ht="12.75" customHeight="1" x14ac:dyDescent="0.25">
      <c r="A841" s="222"/>
      <c r="B841" s="222"/>
      <c r="C841" s="216"/>
      <c r="D841" s="216"/>
      <c r="E841" s="216"/>
      <c r="F841" s="216"/>
      <c r="G841" s="216"/>
      <c r="H841" s="216"/>
      <c r="L841" s="216"/>
      <c r="N841" s="222"/>
    </row>
    <row r="842" spans="1:14" ht="12.75" customHeight="1" x14ac:dyDescent="0.25">
      <c r="A842" s="222"/>
      <c r="B842" s="222"/>
      <c r="C842" s="216"/>
      <c r="D842" s="216"/>
      <c r="E842" s="216"/>
      <c r="F842" s="216"/>
      <c r="G842" s="216"/>
      <c r="H842" s="216"/>
      <c r="L842" s="216"/>
      <c r="N842" s="222"/>
    </row>
    <row r="843" spans="1:14" ht="12.75" customHeight="1" x14ac:dyDescent="0.25">
      <c r="A843" s="222"/>
      <c r="B843" s="222"/>
      <c r="C843" s="216"/>
      <c r="D843" s="216"/>
      <c r="E843" s="216"/>
      <c r="F843" s="216"/>
      <c r="G843" s="216"/>
      <c r="H843" s="216"/>
      <c r="L843" s="216"/>
      <c r="N843" s="222"/>
    </row>
    <row r="844" spans="1:14" ht="12.75" customHeight="1" x14ac:dyDescent="0.25">
      <c r="A844" s="222"/>
      <c r="B844" s="222"/>
      <c r="C844" s="216"/>
      <c r="D844" s="216"/>
      <c r="E844" s="216"/>
      <c r="F844" s="216"/>
      <c r="G844" s="216"/>
      <c r="H844" s="216"/>
      <c r="L844" s="216"/>
      <c r="N844" s="222"/>
    </row>
    <row r="845" spans="1:14" ht="12.75" customHeight="1" x14ac:dyDescent="0.25">
      <c r="A845" s="222"/>
      <c r="B845" s="222"/>
      <c r="C845" s="216"/>
      <c r="D845" s="216"/>
      <c r="E845" s="216"/>
      <c r="F845" s="216"/>
      <c r="G845" s="216"/>
      <c r="H845" s="216"/>
      <c r="L845" s="216"/>
      <c r="N845" s="222"/>
    </row>
    <row r="846" spans="1:14" ht="12.75" customHeight="1" x14ac:dyDescent="0.25">
      <c r="A846" s="222"/>
      <c r="B846" s="222"/>
      <c r="C846" s="216"/>
      <c r="D846" s="216"/>
      <c r="E846" s="216"/>
      <c r="F846" s="216"/>
      <c r="G846" s="216"/>
      <c r="H846" s="216"/>
      <c r="L846" s="216"/>
      <c r="N846" s="222"/>
    </row>
    <row r="847" spans="1:14" ht="12.75" customHeight="1" x14ac:dyDescent="0.25">
      <c r="A847" s="222"/>
      <c r="B847" s="222"/>
      <c r="C847" s="216"/>
      <c r="D847" s="216"/>
      <c r="E847" s="216"/>
      <c r="F847" s="216"/>
      <c r="G847" s="216"/>
      <c r="H847" s="216"/>
      <c r="L847" s="216"/>
      <c r="N847" s="222"/>
    </row>
    <row r="848" spans="1:14" ht="12.75" customHeight="1" x14ac:dyDescent="0.25">
      <c r="A848" s="222"/>
      <c r="B848" s="222"/>
      <c r="C848" s="216"/>
      <c r="D848" s="216"/>
      <c r="E848" s="216"/>
      <c r="F848" s="216"/>
      <c r="G848" s="216"/>
      <c r="H848" s="216"/>
      <c r="L848" s="216"/>
      <c r="N848" s="222"/>
    </row>
    <row r="849" spans="1:14" ht="12.75" customHeight="1" x14ac:dyDescent="0.25">
      <c r="A849" s="222"/>
      <c r="B849" s="222"/>
      <c r="C849" s="216"/>
      <c r="D849" s="216"/>
      <c r="E849" s="216"/>
      <c r="F849" s="216"/>
      <c r="G849" s="216"/>
      <c r="H849" s="216"/>
      <c r="L849" s="216"/>
      <c r="N849" s="222"/>
    </row>
    <row r="850" spans="1:14" ht="12.75" customHeight="1" x14ac:dyDescent="0.25">
      <c r="A850" s="222"/>
      <c r="B850" s="222"/>
      <c r="C850" s="216"/>
      <c r="D850" s="216"/>
      <c r="E850" s="216"/>
      <c r="F850" s="216"/>
      <c r="G850" s="216"/>
      <c r="H850" s="216"/>
      <c r="L850" s="216"/>
      <c r="N850" s="222"/>
    </row>
    <row r="851" spans="1:14" ht="12.75" customHeight="1" x14ac:dyDescent="0.25">
      <c r="A851" s="222"/>
      <c r="B851" s="222"/>
      <c r="C851" s="216"/>
      <c r="D851" s="216"/>
      <c r="E851" s="216"/>
      <c r="F851" s="216"/>
      <c r="G851" s="216"/>
      <c r="H851" s="216"/>
      <c r="L851" s="216"/>
      <c r="N851" s="222"/>
    </row>
    <row r="852" spans="1:14" ht="12.75" customHeight="1" x14ac:dyDescent="0.25">
      <c r="A852" s="222"/>
      <c r="B852" s="222"/>
      <c r="C852" s="216"/>
      <c r="D852" s="216"/>
      <c r="E852" s="216"/>
      <c r="F852" s="216"/>
      <c r="G852" s="216"/>
      <c r="H852" s="216"/>
      <c r="L852" s="216"/>
      <c r="N852" s="222"/>
    </row>
    <row r="853" spans="1:14" ht="12.75" customHeight="1" x14ac:dyDescent="0.25">
      <c r="A853" s="222"/>
      <c r="B853" s="222"/>
      <c r="C853" s="216"/>
      <c r="D853" s="216"/>
      <c r="E853" s="216"/>
      <c r="F853" s="216"/>
      <c r="G853" s="216"/>
      <c r="H853" s="216"/>
      <c r="L853" s="216"/>
      <c r="N853" s="222"/>
    </row>
    <row r="854" spans="1:14" ht="12.75" customHeight="1" x14ac:dyDescent="0.25">
      <c r="A854" s="222"/>
      <c r="B854" s="222"/>
      <c r="C854" s="216"/>
      <c r="D854" s="216"/>
      <c r="E854" s="216"/>
      <c r="F854" s="216"/>
      <c r="G854" s="216"/>
      <c r="H854" s="216"/>
      <c r="L854" s="216"/>
      <c r="N854" s="222"/>
    </row>
    <row r="855" spans="1:14" ht="12.75" customHeight="1" x14ac:dyDescent="0.25">
      <c r="A855" s="222"/>
      <c r="B855" s="222"/>
      <c r="C855" s="216"/>
      <c r="D855" s="216"/>
      <c r="E855" s="216"/>
      <c r="F855" s="216"/>
      <c r="G855" s="216"/>
      <c r="H855" s="216"/>
      <c r="L855" s="216"/>
      <c r="N855" s="222"/>
    </row>
    <row r="856" spans="1:14" ht="12.75" customHeight="1" x14ac:dyDescent="0.25">
      <c r="A856" s="222"/>
      <c r="B856" s="222"/>
      <c r="C856" s="216"/>
      <c r="D856" s="216"/>
      <c r="E856" s="216"/>
      <c r="F856" s="216"/>
      <c r="G856" s="216"/>
      <c r="H856" s="216"/>
      <c r="L856" s="216"/>
      <c r="N856" s="222"/>
    </row>
    <row r="857" spans="1:14" ht="12.75" customHeight="1" x14ac:dyDescent="0.25">
      <c r="A857" s="222"/>
      <c r="B857" s="222"/>
      <c r="C857" s="216"/>
      <c r="D857" s="216"/>
      <c r="E857" s="216"/>
      <c r="F857" s="216"/>
      <c r="G857" s="216"/>
      <c r="H857" s="216"/>
      <c r="L857" s="216"/>
      <c r="N857" s="222"/>
    </row>
    <row r="858" spans="1:14" ht="12.75" customHeight="1" x14ac:dyDescent="0.25">
      <c r="A858" s="222"/>
      <c r="B858" s="222"/>
      <c r="C858" s="216"/>
      <c r="D858" s="216"/>
      <c r="E858" s="216"/>
      <c r="F858" s="216"/>
      <c r="G858" s="216"/>
      <c r="H858" s="216"/>
      <c r="L858" s="216"/>
      <c r="N858" s="222"/>
    </row>
    <row r="859" spans="1:14" ht="12.75" customHeight="1" x14ac:dyDescent="0.25">
      <c r="A859" s="222"/>
      <c r="B859" s="222"/>
      <c r="C859" s="216"/>
      <c r="D859" s="216"/>
      <c r="E859" s="216"/>
      <c r="F859" s="216"/>
      <c r="G859" s="216"/>
      <c r="H859" s="216"/>
      <c r="L859" s="216"/>
      <c r="N859" s="222"/>
    </row>
    <row r="860" spans="1:14" ht="12.75" customHeight="1" x14ac:dyDescent="0.25">
      <c r="A860" s="222"/>
      <c r="B860" s="222"/>
      <c r="C860" s="216"/>
      <c r="D860" s="216"/>
      <c r="E860" s="216"/>
      <c r="F860" s="216"/>
      <c r="G860" s="216"/>
      <c r="H860" s="216"/>
      <c r="L860" s="216"/>
      <c r="N860" s="222"/>
    </row>
    <row r="861" spans="1:14" ht="12.75" customHeight="1" x14ac:dyDescent="0.25">
      <c r="A861" s="222"/>
      <c r="B861" s="222"/>
      <c r="C861" s="216"/>
      <c r="D861" s="216"/>
      <c r="E861" s="216"/>
      <c r="F861" s="216"/>
      <c r="G861" s="216"/>
      <c r="H861" s="216"/>
      <c r="L861" s="216"/>
      <c r="N861" s="222"/>
    </row>
    <row r="862" spans="1:14" ht="12.75" customHeight="1" x14ac:dyDescent="0.25">
      <c r="A862" s="222"/>
      <c r="B862" s="222"/>
      <c r="C862" s="216"/>
      <c r="D862" s="216"/>
      <c r="E862" s="216"/>
      <c r="F862" s="216"/>
      <c r="G862" s="216"/>
      <c r="H862" s="216"/>
      <c r="L862" s="216"/>
      <c r="N862" s="222"/>
    </row>
    <row r="863" spans="1:14" ht="12.75" customHeight="1" x14ac:dyDescent="0.25">
      <c r="A863" s="222"/>
      <c r="B863" s="222"/>
      <c r="C863" s="216"/>
      <c r="D863" s="216"/>
      <c r="E863" s="216"/>
      <c r="F863" s="216"/>
      <c r="G863" s="216"/>
      <c r="H863" s="216"/>
      <c r="L863" s="216"/>
      <c r="N863" s="222"/>
    </row>
    <row r="864" spans="1:14" ht="12.75" customHeight="1" x14ac:dyDescent="0.25">
      <c r="A864" s="222"/>
      <c r="B864" s="222"/>
      <c r="C864" s="216"/>
      <c r="D864" s="216"/>
      <c r="E864" s="216"/>
      <c r="F864" s="216"/>
      <c r="G864" s="216"/>
      <c r="H864" s="216"/>
      <c r="L864" s="216"/>
      <c r="N864" s="222"/>
    </row>
    <row r="865" spans="1:14" ht="12.75" customHeight="1" x14ac:dyDescent="0.25">
      <c r="A865" s="222"/>
      <c r="B865" s="222"/>
      <c r="C865" s="216"/>
      <c r="D865" s="216"/>
      <c r="E865" s="216"/>
      <c r="F865" s="216"/>
      <c r="G865" s="216"/>
      <c r="H865" s="216"/>
      <c r="L865" s="216"/>
      <c r="N865" s="222"/>
    </row>
    <row r="866" spans="1:14" ht="12.75" customHeight="1" x14ac:dyDescent="0.25">
      <c r="A866" s="222"/>
      <c r="B866" s="222"/>
      <c r="C866" s="216"/>
      <c r="D866" s="216"/>
      <c r="E866" s="216"/>
      <c r="F866" s="216"/>
      <c r="G866" s="216"/>
      <c r="H866" s="216"/>
      <c r="L866" s="216"/>
      <c r="N866" s="222"/>
    </row>
    <row r="867" spans="1:14" ht="12.75" customHeight="1" x14ac:dyDescent="0.25">
      <c r="A867" s="222"/>
      <c r="B867" s="222"/>
      <c r="C867" s="216"/>
      <c r="D867" s="216"/>
      <c r="E867" s="216"/>
      <c r="F867" s="216"/>
      <c r="G867" s="216"/>
      <c r="H867" s="216"/>
      <c r="L867" s="216"/>
      <c r="N867" s="222"/>
    </row>
    <row r="868" spans="1:14" ht="12.75" customHeight="1" x14ac:dyDescent="0.25">
      <c r="A868" s="222"/>
      <c r="B868" s="222"/>
      <c r="C868" s="216"/>
      <c r="D868" s="216"/>
      <c r="E868" s="216"/>
      <c r="F868" s="216"/>
      <c r="G868" s="216"/>
      <c r="H868" s="216"/>
      <c r="L868" s="216"/>
      <c r="N868" s="222"/>
    </row>
    <row r="869" spans="1:14" ht="12.75" customHeight="1" x14ac:dyDescent="0.25">
      <c r="A869" s="222"/>
      <c r="B869" s="222"/>
      <c r="C869" s="216"/>
      <c r="D869" s="216"/>
      <c r="E869" s="216"/>
      <c r="F869" s="216"/>
      <c r="G869" s="216"/>
      <c r="H869" s="216"/>
      <c r="L869" s="216"/>
      <c r="N869" s="222"/>
    </row>
    <row r="870" spans="1:14" ht="12.75" customHeight="1" x14ac:dyDescent="0.25">
      <c r="A870" s="222"/>
      <c r="B870" s="222"/>
      <c r="C870" s="216"/>
      <c r="D870" s="216"/>
      <c r="E870" s="216"/>
      <c r="F870" s="216"/>
      <c r="G870" s="216"/>
      <c r="H870" s="216"/>
      <c r="L870" s="216"/>
      <c r="N870" s="222"/>
    </row>
    <row r="871" spans="1:14" ht="12.75" customHeight="1" x14ac:dyDescent="0.25">
      <c r="A871" s="222"/>
      <c r="B871" s="222"/>
      <c r="C871" s="216"/>
      <c r="D871" s="216"/>
      <c r="E871" s="216"/>
      <c r="F871" s="216"/>
      <c r="G871" s="216"/>
      <c r="H871" s="216"/>
      <c r="L871" s="216"/>
      <c r="N871" s="222"/>
    </row>
    <row r="872" spans="1:14" ht="12.75" customHeight="1" x14ac:dyDescent="0.25">
      <c r="A872" s="222"/>
      <c r="B872" s="222"/>
      <c r="C872" s="216"/>
      <c r="D872" s="216"/>
      <c r="E872" s="216"/>
      <c r="F872" s="216"/>
      <c r="G872" s="216"/>
      <c r="H872" s="216"/>
      <c r="L872" s="216"/>
      <c r="N872" s="222"/>
    </row>
    <row r="873" spans="1:14" ht="12.75" customHeight="1" x14ac:dyDescent="0.25">
      <c r="A873" s="222"/>
      <c r="B873" s="222"/>
      <c r="C873" s="216"/>
      <c r="D873" s="216"/>
      <c r="E873" s="216"/>
      <c r="F873" s="216"/>
      <c r="G873" s="216"/>
      <c r="H873" s="216"/>
      <c r="L873" s="216"/>
      <c r="N873" s="222"/>
    </row>
    <row r="874" spans="1:14" ht="12.75" customHeight="1" x14ac:dyDescent="0.25">
      <c r="A874" s="222"/>
      <c r="B874" s="222"/>
      <c r="C874" s="216"/>
      <c r="D874" s="216"/>
      <c r="E874" s="216"/>
      <c r="F874" s="216"/>
      <c r="G874" s="216"/>
      <c r="H874" s="216"/>
      <c r="L874" s="216"/>
      <c r="N874" s="222"/>
    </row>
    <row r="875" spans="1:14" ht="12.75" customHeight="1" x14ac:dyDescent="0.25">
      <c r="A875" s="222"/>
      <c r="B875" s="222"/>
      <c r="C875" s="216"/>
      <c r="D875" s="216"/>
      <c r="E875" s="216"/>
      <c r="F875" s="216"/>
      <c r="G875" s="216"/>
      <c r="H875" s="216"/>
      <c r="L875" s="216"/>
      <c r="N875" s="222"/>
    </row>
    <row r="876" spans="1:14" ht="12.75" customHeight="1" x14ac:dyDescent="0.25">
      <c r="A876" s="222"/>
      <c r="B876" s="222"/>
      <c r="C876" s="216"/>
      <c r="D876" s="216"/>
      <c r="E876" s="216"/>
      <c r="F876" s="216"/>
      <c r="G876" s="216"/>
      <c r="H876" s="216"/>
      <c r="L876" s="216"/>
      <c r="N876" s="222"/>
    </row>
    <row r="877" spans="1:14" ht="12.75" customHeight="1" x14ac:dyDescent="0.25">
      <c r="A877" s="222"/>
      <c r="B877" s="222"/>
      <c r="C877" s="216"/>
      <c r="D877" s="216"/>
      <c r="E877" s="216"/>
      <c r="F877" s="216"/>
      <c r="G877" s="216"/>
      <c r="H877" s="216"/>
      <c r="L877" s="216"/>
      <c r="N877" s="222"/>
    </row>
    <row r="878" spans="1:14" ht="12.75" customHeight="1" x14ac:dyDescent="0.25">
      <c r="A878" s="222"/>
      <c r="B878" s="222"/>
      <c r="C878" s="216"/>
      <c r="D878" s="216"/>
      <c r="E878" s="216"/>
      <c r="F878" s="216"/>
      <c r="G878" s="216"/>
      <c r="H878" s="216"/>
      <c r="L878" s="216"/>
      <c r="N878" s="222"/>
    </row>
    <row r="879" spans="1:14" ht="12.75" customHeight="1" x14ac:dyDescent="0.25">
      <c r="A879" s="222"/>
      <c r="B879" s="222"/>
      <c r="C879" s="216"/>
      <c r="D879" s="216"/>
      <c r="E879" s="216"/>
      <c r="F879" s="216"/>
      <c r="G879" s="216"/>
      <c r="H879" s="216"/>
      <c r="L879" s="216"/>
      <c r="N879" s="222"/>
    </row>
    <row r="880" spans="1:14" ht="12.75" customHeight="1" x14ac:dyDescent="0.25">
      <c r="A880" s="222"/>
      <c r="B880" s="222"/>
      <c r="C880" s="216"/>
      <c r="D880" s="216"/>
      <c r="E880" s="216"/>
      <c r="F880" s="216"/>
      <c r="G880" s="216"/>
      <c r="H880" s="216"/>
      <c r="L880" s="216"/>
      <c r="N880" s="222"/>
    </row>
    <row r="881" spans="1:14" ht="12.75" customHeight="1" x14ac:dyDescent="0.25">
      <c r="A881" s="222"/>
      <c r="B881" s="222"/>
      <c r="C881" s="216"/>
      <c r="D881" s="216"/>
      <c r="E881" s="216"/>
      <c r="F881" s="216"/>
      <c r="G881" s="216"/>
      <c r="H881" s="216"/>
      <c r="L881" s="216"/>
      <c r="N881" s="222"/>
    </row>
    <row r="882" spans="1:14" ht="12.75" customHeight="1" x14ac:dyDescent="0.25">
      <c r="A882" s="222"/>
      <c r="B882" s="222"/>
      <c r="C882" s="216"/>
      <c r="D882" s="216"/>
      <c r="E882" s="216"/>
      <c r="F882" s="216"/>
      <c r="G882" s="216"/>
      <c r="H882" s="216"/>
      <c r="L882" s="216"/>
      <c r="N882" s="222"/>
    </row>
    <row r="883" spans="1:14" ht="12.75" customHeight="1" x14ac:dyDescent="0.25">
      <c r="A883" s="222"/>
      <c r="B883" s="222"/>
      <c r="C883" s="216"/>
      <c r="D883" s="216"/>
      <c r="E883" s="216"/>
      <c r="F883" s="216"/>
      <c r="G883" s="216"/>
      <c r="H883" s="216"/>
      <c r="L883" s="216"/>
      <c r="N883" s="222"/>
    </row>
    <row r="884" spans="1:14" ht="12.75" customHeight="1" x14ac:dyDescent="0.25">
      <c r="A884" s="222"/>
      <c r="B884" s="222"/>
      <c r="C884" s="216"/>
      <c r="D884" s="216"/>
      <c r="E884" s="216"/>
      <c r="F884" s="216"/>
      <c r="G884" s="216"/>
      <c r="H884" s="216"/>
      <c r="L884" s="216"/>
      <c r="N884" s="222"/>
    </row>
    <row r="885" spans="1:14" ht="12.75" customHeight="1" x14ac:dyDescent="0.25">
      <c r="A885" s="222"/>
      <c r="B885" s="222"/>
      <c r="C885" s="216"/>
      <c r="D885" s="216"/>
      <c r="E885" s="216"/>
      <c r="F885" s="216"/>
      <c r="G885" s="216"/>
      <c r="H885" s="216"/>
      <c r="L885" s="216"/>
      <c r="N885" s="222"/>
    </row>
    <row r="886" spans="1:14" ht="12.75" customHeight="1" x14ac:dyDescent="0.25">
      <c r="A886" s="222"/>
      <c r="B886" s="222"/>
      <c r="C886" s="216"/>
      <c r="D886" s="216"/>
      <c r="E886" s="216"/>
      <c r="F886" s="216"/>
      <c r="G886" s="216"/>
      <c r="H886" s="216"/>
      <c r="L886" s="216"/>
      <c r="N886" s="222"/>
    </row>
    <row r="887" spans="1:14" ht="12.75" customHeight="1" x14ac:dyDescent="0.25">
      <c r="A887" s="222"/>
      <c r="B887" s="222"/>
      <c r="C887" s="216"/>
      <c r="D887" s="216"/>
      <c r="E887" s="216"/>
      <c r="F887" s="216"/>
      <c r="G887" s="216"/>
      <c r="H887" s="216"/>
      <c r="L887" s="216"/>
      <c r="N887" s="222"/>
    </row>
    <row r="888" spans="1:14" ht="12.75" customHeight="1" x14ac:dyDescent="0.25">
      <c r="A888" s="222"/>
      <c r="B888" s="222"/>
      <c r="C888" s="216"/>
      <c r="D888" s="216"/>
      <c r="E888" s="216"/>
      <c r="F888" s="216"/>
      <c r="G888" s="216"/>
      <c r="H888" s="216"/>
      <c r="L888" s="216"/>
      <c r="N888" s="222"/>
    </row>
    <row r="889" spans="1:14" ht="12.75" customHeight="1" x14ac:dyDescent="0.25">
      <c r="A889" s="222"/>
      <c r="B889" s="222"/>
      <c r="C889" s="216"/>
      <c r="D889" s="216"/>
      <c r="E889" s="216"/>
      <c r="F889" s="216"/>
      <c r="G889" s="216"/>
      <c r="H889" s="216"/>
      <c r="L889" s="216"/>
      <c r="N889" s="222"/>
    </row>
    <row r="890" spans="1:14" ht="12.75" customHeight="1" x14ac:dyDescent="0.25">
      <c r="A890" s="222"/>
      <c r="B890" s="222"/>
      <c r="C890" s="216"/>
      <c r="D890" s="216"/>
      <c r="E890" s="216"/>
      <c r="F890" s="216"/>
      <c r="G890" s="216"/>
      <c r="H890" s="216"/>
      <c r="L890" s="216"/>
      <c r="N890" s="222"/>
    </row>
    <row r="891" spans="1:14" ht="12.75" customHeight="1" x14ac:dyDescent="0.25">
      <c r="A891" s="222"/>
      <c r="B891" s="222"/>
      <c r="C891" s="216"/>
      <c r="D891" s="216"/>
      <c r="E891" s="216"/>
      <c r="F891" s="216"/>
      <c r="G891" s="216"/>
      <c r="H891" s="216"/>
      <c r="L891" s="216"/>
      <c r="N891" s="222"/>
    </row>
    <row r="892" spans="1:14" ht="12.75" customHeight="1" x14ac:dyDescent="0.25">
      <c r="A892" s="222"/>
      <c r="B892" s="222"/>
      <c r="C892" s="216"/>
      <c r="D892" s="216"/>
      <c r="E892" s="216"/>
      <c r="F892" s="216"/>
      <c r="G892" s="216"/>
      <c r="H892" s="216"/>
      <c r="L892" s="216"/>
      <c r="N892" s="222"/>
    </row>
    <row r="893" spans="1:14" ht="12.75" customHeight="1" x14ac:dyDescent="0.25">
      <c r="A893" s="222"/>
      <c r="B893" s="222"/>
      <c r="C893" s="216"/>
      <c r="D893" s="216"/>
      <c r="E893" s="216"/>
      <c r="F893" s="216"/>
      <c r="G893" s="216"/>
      <c r="H893" s="216"/>
      <c r="L893" s="216"/>
      <c r="N893" s="222"/>
    </row>
    <row r="894" spans="1:14" ht="12.75" customHeight="1" x14ac:dyDescent="0.25">
      <c r="A894" s="222"/>
      <c r="B894" s="222"/>
      <c r="C894" s="216"/>
      <c r="D894" s="216"/>
      <c r="E894" s="216"/>
      <c r="F894" s="216"/>
      <c r="G894" s="216"/>
      <c r="H894" s="216"/>
      <c r="L894" s="216"/>
      <c r="N894" s="222"/>
    </row>
    <row r="895" spans="1:14" ht="12.75" customHeight="1" x14ac:dyDescent="0.25">
      <c r="A895" s="222"/>
      <c r="B895" s="222"/>
      <c r="C895" s="216"/>
      <c r="D895" s="216"/>
      <c r="E895" s="216"/>
      <c r="F895" s="216"/>
      <c r="G895" s="216"/>
      <c r="H895" s="216"/>
      <c r="L895" s="216"/>
      <c r="N895" s="222"/>
    </row>
    <row r="896" spans="1:14" ht="12.75" customHeight="1" x14ac:dyDescent="0.25">
      <c r="A896" s="222"/>
      <c r="B896" s="222"/>
      <c r="C896" s="216"/>
      <c r="D896" s="216"/>
      <c r="E896" s="216"/>
      <c r="F896" s="216"/>
      <c r="G896" s="216"/>
      <c r="H896" s="216"/>
      <c r="L896" s="216"/>
      <c r="N896" s="222"/>
    </row>
    <row r="897" spans="1:14" ht="12.75" customHeight="1" x14ac:dyDescent="0.25">
      <c r="A897" s="222"/>
      <c r="B897" s="222"/>
      <c r="C897" s="216"/>
      <c r="D897" s="216"/>
      <c r="E897" s="216"/>
      <c r="F897" s="216"/>
      <c r="G897" s="216"/>
      <c r="H897" s="216"/>
      <c r="L897" s="216"/>
      <c r="N897" s="222"/>
    </row>
    <row r="898" spans="1:14" ht="12.75" customHeight="1" x14ac:dyDescent="0.25">
      <c r="A898" s="222"/>
      <c r="B898" s="222"/>
      <c r="C898" s="216"/>
      <c r="D898" s="216"/>
      <c r="E898" s="216"/>
      <c r="F898" s="216"/>
      <c r="G898" s="216"/>
      <c r="H898" s="216"/>
      <c r="L898" s="216"/>
      <c r="N898" s="222"/>
    </row>
    <row r="899" spans="1:14" ht="12.75" customHeight="1" x14ac:dyDescent="0.25">
      <c r="A899" s="222"/>
      <c r="B899" s="222"/>
      <c r="C899" s="216"/>
      <c r="D899" s="216"/>
      <c r="E899" s="216"/>
      <c r="F899" s="216"/>
      <c r="G899" s="216"/>
      <c r="H899" s="216"/>
      <c r="L899" s="216"/>
      <c r="N899" s="222"/>
    </row>
    <row r="900" spans="1:14" ht="12.75" customHeight="1" x14ac:dyDescent="0.25">
      <c r="A900" s="222"/>
      <c r="B900" s="222"/>
      <c r="C900" s="216"/>
      <c r="D900" s="216"/>
      <c r="E900" s="216"/>
      <c r="F900" s="216"/>
      <c r="G900" s="216"/>
      <c r="H900" s="216"/>
      <c r="L900" s="216"/>
      <c r="N900" s="222"/>
    </row>
    <row r="901" spans="1:14" ht="12.75" customHeight="1" x14ac:dyDescent="0.25">
      <c r="A901" s="222"/>
      <c r="B901" s="222"/>
      <c r="C901" s="216"/>
      <c r="D901" s="216"/>
      <c r="E901" s="216"/>
      <c r="F901" s="216"/>
      <c r="G901" s="216"/>
      <c r="H901" s="216"/>
      <c r="L901" s="216"/>
      <c r="N901" s="222"/>
    </row>
    <row r="902" spans="1:14" ht="12.75" customHeight="1" x14ac:dyDescent="0.25">
      <c r="A902" s="222"/>
      <c r="B902" s="222"/>
      <c r="C902" s="216"/>
      <c r="D902" s="216"/>
      <c r="E902" s="216"/>
      <c r="F902" s="216"/>
      <c r="G902" s="216"/>
      <c r="H902" s="216"/>
      <c r="L902" s="216"/>
      <c r="N902" s="222"/>
    </row>
    <row r="903" spans="1:14" ht="12.75" customHeight="1" x14ac:dyDescent="0.25">
      <c r="A903" s="222"/>
      <c r="B903" s="222"/>
      <c r="C903" s="216"/>
      <c r="D903" s="216"/>
      <c r="E903" s="216"/>
      <c r="F903" s="216"/>
      <c r="G903" s="216"/>
      <c r="H903" s="216"/>
      <c r="L903" s="216"/>
      <c r="N903" s="222"/>
    </row>
    <row r="904" spans="1:14" ht="12.75" customHeight="1" x14ac:dyDescent="0.25">
      <c r="A904" s="222"/>
      <c r="B904" s="222"/>
      <c r="C904" s="216"/>
      <c r="D904" s="216"/>
      <c r="E904" s="216"/>
      <c r="F904" s="216"/>
      <c r="G904" s="216"/>
      <c r="H904" s="216"/>
      <c r="L904" s="216"/>
      <c r="N904" s="222"/>
    </row>
    <row r="905" spans="1:14" ht="12.75" customHeight="1" x14ac:dyDescent="0.25">
      <c r="A905" s="222"/>
      <c r="B905" s="222"/>
      <c r="C905" s="216"/>
      <c r="D905" s="216"/>
      <c r="E905" s="216"/>
      <c r="F905" s="216"/>
      <c r="G905" s="216"/>
      <c r="H905" s="216"/>
      <c r="L905" s="216"/>
      <c r="N905" s="222"/>
    </row>
    <row r="906" spans="1:14" ht="12.75" customHeight="1" x14ac:dyDescent="0.25">
      <c r="A906" s="222"/>
      <c r="B906" s="222"/>
      <c r="C906" s="216"/>
      <c r="D906" s="216"/>
      <c r="E906" s="216"/>
      <c r="F906" s="216"/>
      <c r="G906" s="216"/>
      <c r="H906" s="216"/>
      <c r="L906" s="216"/>
      <c r="N906" s="222"/>
    </row>
    <row r="907" spans="1:14" ht="12.75" customHeight="1" x14ac:dyDescent="0.25">
      <c r="A907" s="222"/>
      <c r="B907" s="222"/>
      <c r="C907" s="216"/>
      <c r="D907" s="216"/>
      <c r="E907" s="216"/>
      <c r="F907" s="216"/>
      <c r="G907" s="216"/>
      <c r="H907" s="216"/>
      <c r="L907" s="216"/>
      <c r="N907" s="222"/>
    </row>
    <row r="908" spans="1:14" ht="12.75" customHeight="1" x14ac:dyDescent="0.25">
      <c r="A908" s="222"/>
      <c r="B908" s="222"/>
      <c r="C908" s="216"/>
      <c r="D908" s="216"/>
      <c r="E908" s="216"/>
      <c r="F908" s="216"/>
      <c r="G908" s="216"/>
      <c r="H908" s="216"/>
      <c r="L908" s="216"/>
      <c r="N908" s="222"/>
    </row>
    <row r="909" spans="1:14" ht="12.75" customHeight="1" x14ac:dyDescent="0.25">
      <c r="A909" s="222"/>
      <c r="B909" s="222"/>
      <c r="C909" s="216"/>
      <c r="D909" s="216"/>
      <c r="E909" s="216"/>
      <c r="F909" s="216"/>
      <c r="G909" s="216"/>
      <c r="H909" s="216"/>
      <c r="L909" s="216"/>
      <c r="N909" s="222"/>
    </row>
    <row r="910" spans="1:14" ht="12.75" customHeight="1" x14ac:dyDescent="0.25">
      <c r="A910" s="222"/>
      <c r="B910" s="222"/>
      <c r="C910" s="216"/>
      <c r="D910" s="216"/>
      <c r="E910" s="216"/>
      <c r="F910" s="216"/>
      <c r="G910" s="216"/>
      <c r="H910" s="216"/>
      <c r="L910" s="216"/>
      <c r="N910" s="222"/>
    </row>
    <row r="911" spans="1:14" ht="12.75" customHeight="1" x14ac:dyDescent="0.25">
      <c r="A911" s="222"/>
      <c r="B911" s="222"/>
      <c r="C911" s="216"/>
      <c r="D911" s="216"/>
      <c r="E911" s="216"/>
      <c r="F911" s="216"/>
      <c r="G911" s="216"/>
      <c r="H911" s="216"/>
      <c r="L911" s="216"/>
      <c r="N911" s="222"/>
    </row>
    <row r="912" spans="1:14" ht="12.75" customHeight="1" x14ac:dyDescent="0.25">
      <c r="A912" s="222"/>
      <c r="B912" s="222"/>
      <c r="C912" s="216"/>
      <c r="D912" s="216"/>
      <c r="E912" s="216"/>
      <c r="F912" s="216"/>
      <c r="G912" s="216"/>
      <c r="H912" s="216"/>
      <c r="L912" s="216"/>
      <c r="N912" s="222"/>
    </row>
    <row r="913" spans="1:14" ht="12.75" customHeight="1" x14ac:dyDescent="0.25">
      <c r="A913" s="222"/>
      <c r="B913" s="222"/>
      <c r="C913" s="216"/>
      <c r="D913" s="216"/>
      <c r="E913" s="216"/>
      <c r="F913" s="216"/>
      <c r="G913" s="216"/>
      <c r="H913" s="216"/>
      <c r="L913" s="216"/>
      <c r="N913" s="222"/>
    </row>
    <row r="914" spans="1:14" ht="12.75" customHeight="1" x14ac:dyDescent="0.25">
      <c r="A914" s="222"/>
      <c r="B914" s="222"/>
      <c r="C914" s="216"/>
      <c r="D914" s="216"/>
      <c r="E914" s="216"/>
      <c r="F914" s="216"/>
      <c r="G914" s="216"/>
      <c r="H914" s="216"/>
      <c r="L914" s="216"/>
      <c r="N914" s="222"/>
    </row>
    <row r="915" spans="1:14" ht="12.75" customHeight="1" x14ac:dyDescent="0.25">
      <c r="A915" s="222"/>
      <c r="B915" s="222"/>
      <c r="C915" s="216"/>
      <c r="D915" s="216"/>
      <c r="E915" s="216"/>
      <c r="F915" s="216"/>
      <c r="G915" s="216"/>
      <c r="H915" s="216"/>
      <c r="L915" s="216"/>
      <c r="N915" s="222"/>
    </row>
    <row r="916" spans="1:14" ht="12.75" customHeight="1" x14ac:dyDescent="0.25">
      <c r="A916" s="222"/>
      <c r="B916" s="222"/>
      <c r="C916" s="216"/>
      <c r="D916" s="216"/>
      <c r="E916" s="216"/>
      <c r="F916" s="216"/>
      <c r="G916" s="216"/>
      <c r="H916" s="216"/>
      <c r="L916" s="216"/>
      <c r="N916" s="222"/>
    </row>
    <row r="917" spans="1:14" ht="12.75" customHeight="1" x14ac:dyDescent="0.25">
      <c r="A917" s="222"/>
      <c r="B917" s="222"/>
      <c r="C917" s="216"/>
      <c r="D917" s="216"/>
      <c r="E917" s="216"/>
      <c r="F917" s="216"/>
      <c r="G917" s="216"/>
      <c r="H917" s="216"/>
      <c r="L917" s="216"/>
      <c r="N917" s="222"/>
    </row>
    <row r="918" spans="1:14" ht="12.75" customHeight="1" x14ac:dyDescent="0.25">
      <c r="A918" s="222"/>
      <c r="B918" s="222"/>
      <c r="C918" s="216"/>
      <c r="D918" s="216"/>
      <c r="E918" s="216"/>
      <c r="F918" s="216"/>
      <c r="G918" s="216"/>
      <c r="H918" s="216"/>
      <c r="L918" s="216"/>
      <c r="N918" s="222"/>
    </row>
    <row r="919" spans="1:14" ht="12.75" customHeight="1" x14ac:dyDescent="0.25">
      <c r="A919" s="222"/>
      <c r="B919" s="222"/>
      <c r="C919" s="216"/>
      <c r="D919" s="216"/>
      <c r="E919" s="216"/>
      <c r="F919" s="216"/>
      <c r="G919" s="216"/>
      <c r="H919" s="216"/>
      <c r="L919" s="216"/>
      <c r="N919" s="222"/>
    </row>
    <row r="920" spans="1:14" ht="12.75" customHeight="1" x14ac:dyDescent="0.25">
      <c r="A920" s="222"/>
      <c r="B920" s="222"/>
      <c r="C920" s="216"/>
      <c r="D920" s="216"/>
      <c r="E920" s="216"/>
      <c r="F920" s="216"/>
      <c r="G920" s="216"/>
      <c r="H920" s="216"/>
      <c r="L920" s="216"/>
      <c r="N920" s="222"/>
    </row>
    <row r="921" spans="1:14" ht="12.75" customHeight="1" x14ac:dyDescent="0.25">
      <c r="A921" s="222"/>
      <c r="B921" s="222"/>
      <c r="C921" s="216"/>
      <c r="D921" s="216"/>
      <c r="E921" s="216"/>
      <c r="F921" s="216"/>
      <c r="G921" s="216"/>
      <c r="H921" s="216"/>
      <c r="L921" s="216"/>
      <c r="N921" s="222"/>
    </row>
    <row r="922" spans="1:14" ht="12.75" customHeight="1" x14ac:dyDescent="0.25">
      <c r="A922" s="222"/>
      <c r="B922" s="222"/>
      <c r="C922" s="216"/>
      <c r="D922" s="216"/>
      <c r="E922" s="216"/>
      <c r="F922" s="216"/>
      <c r="G922" s="216"/>
      <c r="H922" s="216"/>
      <c r="L922" s="216"/>
      <c r="N922" s="222"/>
    </row>
    <row r="923" spans="1:14" ht="12.75" customHeight="1" x14ac:dyDescent="0.25">
      <c r="A923" s="222"/>
      <c r="B923" s="222"/>
      <c r="C923" s="216"/>
      <c r="D923" s="216"/>
      <c r="E923" s="216"/>
      <c r="F923" s="216"/>
      <c r="G923" s="216"/>
      <c r="H923" s="216"/>
      <c r="L923" s="216"/>
      <c r="N923" s="222"/>
    </row>
    <row r="924" spans="1:14" ht="12.75" customHeight="1" x14ac:dyDescent="0.25">
      <c r="A924" s="222"/>
      <c r="B924" s="222"/>
      <c r="C924" s="216"/>
      <c r="D924" s="216"/>
      <c r="E924" s="216"/>
      <c r="F924" s="216"/>
      <c r="G924" s="216"/>
      <c r="H924" s="216"/>
      <c r="L924" s="216"/>
      <c r="N924" s="222"/>
    </row>
    <row r="925" spans="1:14" ht="12.75" customHeight="1" x14ac:dyDescent="0.25">
      <c r="A925" s="222"/>
      <c r="B925" s="222"/>
      <c r="C925" s="216"/>
      <c r="D925" s="216"/>
      <c r="E925" s="216"/>
      <c r="F925" s="216"/>
      <c r="G925" s="216"/>
      <c r="H925" s="216"/>
      <c r="L925" s="216"/>
      <c r="N925" s="222"/>
    </row>
    <row r="926" spans="1:14" ht="12.75" customHeight="1" x14ac:dyDescent="0.25">
      <c r="A926" s="222"/>
      <c r="B926" s="222"/>
      <c r="C926" s="216"/>
      <c r="D926" s="216"/>
      <c r="E926" s="216"/>
      <c r="F926" s="216"/>
      <c r="G926" s="216"/>
      <c r="H926" s="216"/>
      <c r="L926" s="216"/>
      <c r="N926" s="222"/>
    </row>
    <row r="927" spans="1:14" ht="12.75" customHeight="1" x14ac:dyDescent="0.25">
      <c r="A927" s="222"/>
      <c r="B927" s="222"/>
      <c r="C927" s="216"/>
      <c r="D927" s="216"/>
      <c r="E927" s="216"/>
      <c r="F927" s="216"/>
      <c r="G927" s="216"/>
      <c r="H927" s="216"/>
      <c r="L927" s="216"/>
      <c r="N927" s="222"/>
    </row>
    <row r="928" spans="1:14" ht="12.75" customHeight="1" x14ac:dyDescent="0.25">
      <c r="A928" s="222"/>
      <c r="B928" s="222"/>
      <c r="C928" s="216"/>
      <c r="D928" s="216"/>
      <c r="E928" s="216"/>
      <c r="F928" s="216"/>
      <c r="G928" s="216"/>
      <c r="H928" s="216"/>
      <c r="L928" s="216"/>
      <c r="N928" s="222"/>
    </row>
    <row r="929" spans="1:14" ht="12.75" customHeight="1" x14ac:dyDescent="0.25">
      <c r="A929" s="222"/>
      <c r="B929" s="222"/>
      <c r="C929" s="216"/>
      <c r="D929" s="216"/>
      <c r="E929" s="216"/>
      <c r="F929" s="216"/>
      <c r="G929" s="216"/>
      <c r="H929" s="216"/>
      <c r="L929" s="216"/>
      <c r="N929" s="222"/>
    </row>
    <row r="930" spans="1:14" ht="12.75" customHeight="1" x14ac:dyDescent="0.25">
      <c r="A930" s="222"/>
      <c r="B930" s="222"/>
      <c r="C930" s="216"/>
      <c r="D930" s="216"/>
      <c r="E930" s="216"/>
      <c r="F930" s="216"/>
      <c r="G930" s="216"/>
      <c r="H930" s="216"/>
      <c r="L930" s="216"/>
      <c r="N930" s="222"/>
    </row>
    <row r="931" spans="1:14" ht="12.75" customHeight="1" x14ac:dyDescent="0.25">
      <c r="A931" s="222"/>
      <c r="B931" s="222"/>
      <c r="C931" s="216"/>
      <c r="D931" s="216"/>
      <c r="E931" s="216"/>
      <c r="F931" s="216"/>
      <c r="G931" s="216"/>
      <c r="H931" s="216"/>
      <c r="L931" s="216"/>
      <c r="N931" s="222"/>
    </row>
    <row r="932" spans="1:14" ht="12.75" customHeight="1" x14ac:dyDescent="0.25">
      <c r="A932" s="222"/>
      <c r="B932" s="222"/>
      <c r="C932" s="216"/>
      <c r="D932" s="216"/>
      <c r="E932" s="216"/>
      <c r="F932" s="216"/>
      <c r="G932" s="216"/>
      <c r="H932" s="216"/>
      <c r="L932" s="216"/>
      <c r="N932" s="222"/>
    </row>
    <row r="933" spans="1:14" ht="12.75" customHeight="1" x14ac:dyDescent="0.25">
      <c r="A933" s="222"/>
      <c r="B933" s="222"/>
      <c r="C933" s="216"/>
      <c r="D933" s="216"/>
      <c r="E933" s="216"/>
      <c r="F933" s="216"/>
      <c r="G933" s="216"/>
      <c r="H933" s="216"/>
      <c r="L933" s="216"/>
      <c r="N933" s="222"/>
    </row>
    <row r="934" spans="1:14" ht="12.75" customHeight="1" x14ac:dyDescent="0.25">
      <c r="A934" s="222"/>
      <c r="B934" s="222"/>
      <c r="C934" s="216"/>
      <c r="D934" s="216"/>
      <c r="E934" s="216"/>
      <c r="F934" s="216"/>
      <c r="G934" s="216"/>
      <c r="H934" s="216"/>
      <c r="L934" s="216"/>
      <c r="N934" s="222"/>
    </row>
    <row r="935" spans="1:14" ht="12.75" customHeight="1" x14ac:dyDescent="0.25">
      <c r="A935" s="222"/>
      <c r="B935" s="222"/>
      <c r="C935" s="216"/>
      <c r="D935" s="216"/>
      <c r="E935" s="216"/>
      <c r="F935" s="216"/>
      <c r="G935" s="216"/>
      <c r="H935" s="216"/>
      <c r="L935" s="216"/>
      <c r="N935" s="222"/>
    </row>
    <row r="936" spans="1:14" ht="12.75" customHeight="1" x14ac:dyDescent="0.25">
      <c r="A936" s="222"/>
      <c r="B936" s="222"/>
      <c r="C936" s="216"/>
      <c r="D936" s="216"/>
      <c r="E936" s="216"/>
      <c r="F936" s="216"/>
      <c r="G936" s="216"/>
      <c r="H936" s="216"/>
      <c r="L936" s="216"/>
      <c r="N936" s="222"/>
    </row>
    <row r="937" spans="1:14" ht="12.75" customHeight="1" x14ac:dyDescent="0.25">
      <c r="A937" s="222"/>
      <c r="B937" s="222"/>
      <c r="C937" s="216"/>
      <c r="D937" s="216"/>
      <c r="E937" s="216"/>
      <c r="F937" s="216"/>
      <c r="G937" s="216"/>
      <c r="H937" s="216"/>
      <c r="L937" s="216"/>
      <c r="N937" s="222"/>
    </row>
    <row r="938" spans="1:14" ht="12.75" customHeight="1" x14ac:dyDescent="0.25">
      <c r="A938" s="222"/>
      <c r="B938" s="222"/>
      <c r="C938" s="216"/>
      <c r="D938" s="216"/>
      <c r="E938" s="216"/>
      <c r="F938" s="216"/>
      <c r="G938" s="216"/>
      <c r="H938" s="216"/>
      <c r="L938" s="216"/>
      <c r="N938" s="222"/>
    </row>
    <row r="939" spans="1:14" ht="12.75" customHeight="1" x14ac:dyDescent="0.25">
      <c r="A939" s="222"/>
      <c r="B939" s="222"/>
      <c r="C939" s="216"/>
      <c r="D939" s="216"/>
      <c r="E939" s="216"/>
      <c r="F939" s="216"/>
      <c r="G939" s="216"/>
      <c r="H939" s="216"/>
      <c r="L939" s="216"/>
      <c r="N939" s="222"/>
    </row>
    <row r="940" spans="1:14" ht="12.75" customHeight="1" x14ac:dyDescent="0.25">
      <c r="A940" s="222"/>
      <c r="B940" s="222"/>
      <c r="C940" s="216"/>
      <c r="D940" s="216"/>
      <c r="E940" s="216"/>
      <c r="F940" s="216"/>
      <c r="G940" s="216"/>
      <c r="H940" s="216"/>
      <c r="L940" s="216"/>
      <c r="N940" s="222"/>
    </row>
    <row r="941" spans="1:14" ht="12.75" customHeight="1" x14ac:dyDescent="0.25">
      <c r="A941" s="222"/>
      <c r="B941" s="222"/>
      <c r="C941" s="216"/>
      <c r="D941" s="216"/>
      <c r="E941" s="216"/>
      <c r="F941" s="216"/>
      <c r="G941" s="216"/>
      <c r="H941" s="216"/>
      <c r="L941" s="216"/>
      <c r="N941" s="222"/>
    </row>
    <row r="942" spans="1:14" ht="12.75" customHeight="1" x14ac:dyDescent="0.25">
      <c r="A942" s="222"/>
      <c r="B942" s="222"/>
      <c r="C942" s="216"/>
      <c r="D942" s="216"/>
      <c r="E942" s="216"/>
      <c r="F942" s="216"/>
      <c r="G942" s="216"/>
      <c r="H942" s="216"/>
      <c r="L942" s="216"/>
      <c r="N942" s="222"/>
    </row>
    <row r="943" spans="1:14" ht="12.75" customHeight="1" x14ac:dyDescent="0.25">
      <c r="A943" s="222"/>
      <c r="B943" s="222"/>
      <c r="C943" s="216"/>
      <c r="D943" s="216"/>
      <c r="E943" s="216"/>
      <c r="F943" s="216"/>
      <c r="G943" s="216"/>
      <c r="H943" s="216"/>
      <c r="L943" s="216"/>
      <c r="N943" s="222"/>
    </row>
    <row r="944" spans="1:14" ht="12.75" customHeight="1" x14ac:dyDescent="0.25">
      <c r="A944" s="222"/>
      <c r="B944" s="222"/>
      <c r="C944" s="216"/>
      <c r="D944" s="216"/>
      <c r="E944" s="216"/>
      <c r="F944" s="216"/>
      <c r="G944" s="216"/>
      <c r="H944" s="216"/>
      <c r="L944" s="216"/>
      <c r="N944" s="222"/>
    </row>
    <row r="945" spans="1:14" ht="12.75" customHeight="1" x14ac:dyDescent="0.25">
      <c r="A945" s="222"/>
      <c r="B945" s="222"/>
      <c r="C945" s="216"/>
      <c r="D945" s="216"/>
      <c r="E945" s="216"/>
      <c r="F945" s="216"/>
      <c r="G945" s="216"/>
      <c r="H945" s="216"/>
      <c r="L945" s="216"/>
      <c r="N945" s="222"/>
    </row>
    <row r="946" spans="1:14" ht="12.75" customHeight="1" x14ac:dyDescent="0.25">
      <c r="A946" s="222"/>
      <c r="B946" s="222"/>
      <c r="C946" s="216"/>
      <c r="D946" s="216"/>
      <c r="E946" s="216"/>
      <c r="F946" s="216"/>
      <c r="G946" s="216"/>
      <c r="H946" s="216"/>
      <c r="L946" s="216"/>
      <c r="N946" s="222"/>
    </row>
    <row r="947" spans="1:14" ht="12.75" customHeight="1" x14ac:dyDescent="0.25">
      <c r="A947" s="222"/>
      <c r="B947" s="222"/>
      <c r="C947" s="216"/>
      <c r="D947" s="216"/>
      <c r="E947" s="216"/>
      <c r="F947" s="216"/>
      <c r="G947" s="216"/>
      <c r="H947" s="216"/>
      <c r="L947" s="216"/>
      <c r="N947" s="222"/>
    </row>
    <row r="948" spans="1:14" ht="12.75" customHeight="1" x14ac:dyDescent="0.25">
      <c r="A948" s="222"/>
      <c r="B948" s="222"/>
      <c r="C948" s="216"/>
      <c r="D948" s="216"/>
      <c r="E948" s="216"/>
      <c r="F948" s="216"/>
      <c r="G948" s="216"/>
      <c r="H948" s="216"/>
      <c r="L948" s="216"/>
      <c r="N948" s="222"/>
    </row>
    <row r="949" spans="1:14" ht="12.75" customHeight="1" x14ac:dyDescent="0.25">
      <c r="A949" s="222"/>
      <c r="B949" s="222"/>
      <c r="C949" s="216"/>
      <c r="D949" s="216"/>
      <c r="E949" s="216"/>
      <c r="F949" s="216"/>
      <c r="G949" s="216"/>
      <c r="H949" s="216"/>
      <c r="L949" s="216"/>
      <c r="N949" s="222"/>
    </row>
    <row r="950" spans="1:14" ht="12.75" customHeight="1" x14ac:dyDescent="0.25">
      <c r="A950" s="222"/>
      <c r="B950" s="222"/>
      <c r="C950" s="216"/>
      <c r="D950" s="216"/>
      <c r="E950" s="216"/>
      <c r="F950" s="216"/>
      <c r="G950" s="216"/>
      <c r="H950" s="216"/>
      <c r="L950" s="216"/>
      <c r="N950" s="222"/>
    </row>
    <row r="951" spans="1:14" ht="12.75" customHeight="1" x14ac:dyDescent="0.25">
      <c r="A951" s="222"/>
      <c r="B951" s="222"/>
      <c r="C951" s="216"/>
      <c r="D951" s="216"/>
      <c r="E951" s="216"/>
      <c r="F951" s="216"/>
      <c r="G951" s="216"/>
      <c r="H951" s="216"/>
      <c r="L951" s="216"/>
      <c r="N951" s="222"/>
    </row>
    <row r="952" spans="1:14" ht="12.75" customHeight="1" x14ac:dyDescent="0.25">
      <c r="A952" s="222"/>
      <c r="B952" s="222"/>
      <c r="C952" s="216"/>
      <c r="D952" s="216"/>
      <c r="E952" s="216"/>
      <c r="F952" s="216"/>
      <c r="G952" s="216"/>
      <c r="H952" s="216"/>
      <c r="L952" s="216"/>
      <c r="N952" s="222"/>
    </row>
    <row r="953" spans="1:14" ht="12.75" customHeight="1" x14ac:dyDescent="0.25">
      <c r="A953" s="222"/>
      <c r="B953" s="222"/>
      <c r="C953" s="216"/>
      <c r="D953" s="216"/>
      <c r="E953" s="216"/>
      <c r="F953" s="216"/>
      <c r="G953" s="216"/>
      <c r="H953" s="216"/>
      <c r="L953" s="216"/>
      <c r="N953" s="222"/>
    </row>
    <row r="954" spans="1:14" ht="12.75" customHeight="1" x14ac:dyDescent="0.25">
      <c r="A954" s="222"/>
      <c r="B954" s="222"/>
      <c r="C954" s="216"/>
      <c r="D954" s="216"/>
      <c r="E954" s="216"/>
      <c r="F954" s="216"/>
      <c r="G954" s="216"/>
      <c r="H954" s="216"/>
      <c r="L954" s="216"/>
      <c r="N954" s="222"/>
    </row>
    <row r="955" spans="1:14" ht="12.75" customHeight="1" x14ac:dyDescent="0.25">
      <c r="A955" s="222"/>
      <c r="B955" s="222"/>
      <c r="C955" s="216"/>
      <c r="D955" s="216"/>
      <c r="E955" s="216"/>
      <c r="F955" s="216"/>
      <c r="G955" s="216"/>
      <c r="H955" s="216"/>
      <c r="L955" s="216"/>
      <c r="N955" s="222"/>
    </row>
    <row r="956" spans="1:14" ht="12.75" customHeight="1" x14ac:dyDescent="0.25">
      <c r="A956" s="222"/>
      <c r="B956" s="222"/>
      <c r="C956" s="216"/>
      <c r="D956" s="216"/>
      <c r="E956" s="216"/>
      <c r="F956" s="216"/>
      <c r="G956" s="216"/>
      <c r="H956" s="216"/>
      <c r="L956" s="216"/>
      <c r="N956" s="222"/>
    </row>
    <row r="957" spans="1:14" ht="12.75" customHeight="1" x14ac:dyDescent="0.25">
      <c r="A957" s="222"/>
      <c r="B957" s="222"/>
      <c r="C957" s="216"/>
      <c r="D957" s="216"/>
      <c r="E957" s="216"/>
      <c r="F957" s="216"/>
      <c r="G957" s="216"/>
      <c r="H957" s="216"/>
      <c r="L957" s="216"/>
      <c r="N957" s="222"/>
    </row>
    <row r="958" spans="1:14" ht="12.75" customHeight="1" x14ac:dyDescent="0.25">
      <c r="A958" s="222"/>
      <c r="B958" s="222"/>
      <c r="C958" s="216"/>
      <c r="D958" s="216"/>
      <c r="E958" s="216"/>
      <c r="F958" s="216"/>
      <c r="G958" s="216"/>
      <c r="H958" s="216"/>
      <c r="L958" s="216"/>
      <c r="N958" s="222"/>
    </row>
    <row r="959" spans="1:14" ht="12.75" customHeight="1" x14ac:dyDescent="0.25">
      <c r="A959" s="222"/>
      <c r="B959" s="222"/>
      <c r="C959" s="216"/>
      <c r="D959" s="216"/>
      <c r="E959" s="216"/>
      <c r="F959" s="216"/>
      <c r="G959" s="216"/>
      <c r="H959" s="216"/>
      <c r="L959" s="216"/>
      <c r="N959" s="222"/>
    </row>
    <row r="960" spans="1:14" ht="12.75" customHeight="1" x14ac:dyDescent="0.25">
      <c r="A960" s="222"/>
      <c r="B960" s="222"/>
      <c r="C960" s="216"/>
      <c r="D960" s="216"/>
      <c r="E960" s="216"/>
      <c r="F960" s="216"/>
      <c r="G960" s="216"/>
      <c r="H960" s="216"/>
      <c r="L960" s="216"/>
      <c r="N960" s="222"/>
    </row>
    <row r="961" spans="1:14" ht="12.75" customHeight="1" x14ac:dyDescent="0.25">
      <c r="A961" s="222"/>
      <c r="B961" s="222"/>
      <c r="C961" s="216"/>
      <c r="D961" s="216"/>
      <c r="E961" s="216"/>
      <c r="F961" s="216"/>
      <c r="G961" s="216"/>
      <c r="H961" s="216"/>
      <c r="L961" s="216"/>
      <c r="N961" s="222"/>
    </row>
    <row r="962" spans="1:14" ht="12.75" customHeight="1" x14ac:dyDescent="0.25">
      <c r="A962" s="222"/>
      <c r="B962" s="222"/>
      <c r="C962" s="216"/>
      <c r="D962" s="216"/>
      <c r="E962" s="216"/>
      <c r="F962" s="216"/>
      <c r="G962" s="216"/>
      <c r="H962" s="216"/>
      <c r="L962" s="216"/>
      <c r="N962" s="222"/>
    </row>
    <row r="963" spans="1:14" ht="12.75" customHeight="1" x14ac:dyDescent="0.25">
      <c r="A963" s="222"/>
      <c r="B963" s="222"/>
      <c r="C963" s="216"/>
      <c r="D963" s="216"/>
      <c r="E963" s="216"/>
      <c r="F963" s="216"/>
      <c r="G963" s="216"/>
      <c r="H963" s="216"/>
      <c r="L963" s="216"/>
      <c r="N963" s="222"/>
    </row>
    <row r="964" spans="1:14" ht="12.75" customHeight="1" x14ac:dyDescent="0.25">
      <c r="A964" s="222"/>
      <c r="B964" s="222"/>
      <c r="C964" s="216"/>
      <c r="D964" s="216"/>
      <c r="E964" s="216"/>
      <c r="F964" s="216"/>
      <c r="G964" s="216"/>
      <c r="H964" s="216"/>
      <c r="L964" s="216"/>
      <c r="N964" s="222"/>
    </row>
    <row r="965" spans="1:14" ht="12.75" customHeight="1" x14ac:dyDescent="0.25">
      <c r="A965" s="222"/>
      <c r="B965" s="222"/>
      <c r="C965" s="216"/>
      <c r="D965" s="216"/>
      <c r="E965" s="216"/>
      <c r="F965" s="216"/>
      <c r="G965" s="216"/>
      <c r="H965" s="216"/>
      <c r="L965" s="216"/>
      <c r="N965" s="222"/>
    </row>
    <row r="966" spans="1:14" ht="12.75" customHeight="1" x14ac:dyDescent="0.25">
      <c r="A966" s="222"/>
      <c r="B966" s="222"/>
      <c r="C966" s="216"/>
      <c r="D966" s="216"/>
      <c r="E966" s="216"/>
      <c r="F966" s="216"/>
      <c r="G966" s="216"/>
      <c r="H966" s="216"/>
      <c r="L966" s="216"/>
      <c r="N966" s="222"/>
    </row>
    <row r="967" spans="1:14" ht="12.75" customHeight="1" x14ac:dyDescent="0.25">
      <c r="A967" s="222"/>
      <c r="B967" s="222"/>
      <c r="C967" s="216"/>
      <c r="D967" s="216"/>
      <c r="E967" s="216"/>
      <c r="F967" s="216"/>
      <c r="G967" s="216"/>
      <c r="H967" s="216"/>
      <c r="L967" s="216"/>
      <c r="N967" s="222"/>
    </row>
    <row r="968" spans="1:14" ht="12.75" customHeight="1" x14ac:dyDescent="0.25">
      <c r="A968" s="222"/>
      <c r="B968" s="222"/>
      <c r="C968" s="216"/>
      <c r="D968" s="216"/>
      <c r="E968" s="216"/>
      <c r="F968" s="216"/>
      <c r="G968" s="216"/>
      <c r="H968" s="216"/>
      <c r="L968" s="216"/>
      <c r="N968" s="222"/>
    </row>
    <row r="969" spans="1:14" ht="12.75" customHeight="1" x14ac:dyDescent="0.25">
      <c r="A969" s="222"/>
      <c r="B969" s="222"/>
      <c r="C969" s="216"/>
      <c r="D969" s="216"/>
      <c r="E969" s="216"/>
      <c r="F969" s="216"/>
      <c r="G969" s="216"/>
      <c r="H969" s="216"/>
      <c r="L969" s="216"/>
      <c r="N969" s="222"/>
    </row>
    <row r="970" spans="1:14" ht="12.75" customHeight="1" x14ac:dyDescent="0.25">
      <c r="A970" s="222"/>
      <c r="B970" s="222"/>
      <c r="C970" s="216"/>
      <c r="D970" s="216"/>
      <c r="E970" s="216"/>
      <c r="F970" s="216"/>
      <c r="G970" s="216"/>
      <c r="H970" s="216"/>
      <c r="L970" s="216"/>
      <c r="N970" s="222"/>
    </row>
    <row r="971" spans="1:14" ht="12.75" customHeight="1" x14ac:dyDescent="0.25">
      <c r="A971" s="222"/>
      <c r="B971" s="222"/>
      <c r="C971" s="216"/>
      <c r="D971" s="216"/>
      <c r="E971" s="216"/>
      <c r="F971" s="216"/>
      <c r="G971" s="216"/>
      <c r="H971" s="216"/>
      <c r="L971" s="216"/>
      <c r="N971" s="222"/>
    </row>
    <row r="972" spans="1:14" ht="12.75" customHeight="1" x14ac:dyDescent="0.25">
      <c r="A972" s="222"/>
      <c r="B972" s="222"/>
      <c r="C972" s="216"/>
      <c r="D972" s="216"/>
      <c r="E972" s="216"/>
      <c r="F972" s="216"/>
      <c r="G972" s="216"/>
      <c r="H972" s="216"/>
      <c r="L972" s="216"/>
      <c r="N972" s="222"/>
    </row>
    <row r="973" spans="1:14" ht="12.75" customHeight="1" x14ac:dyDescent="0.25">
      <c r="A973" s="222"/>
      <c r="B973" s="222"/>
      <c r="C973" s="216"/>
      <c r="D973" s="216"/>
      <c r="E973" s="216"/>
      <c r="F973" s="216"/>
      <c r="G973" s="216"/>
      <c r="H973" s="216"/>
      <c r="L973" s="216"/>
      <c r="N973" s="222"/>
    </row>
    <row r="974" spans="1:14" ht="12.75" customHeight="1" x14ac:dyDescent="0.25">
      <c r="A974" s="222"/>
      <c r="B974" s="222"/>
      <c r="C974" s="216"/>
      <c r="D974" s="216"/>
      <c r="E974" s="216"/>
      <c r="F974" s="216"/>
      <c r="G974" s="216"/>
      <c r="H974" s="216"/>
      <c r="L974" s="216"/>
      <c r="N974" s="222"/>
    </row>
    <row r="975" spans="1:14" ht="12.75" customHeight="1" x14ac:dyDescent="0.25">
      <c r="A975" s="222"/>
      <c r="B975" s="222"/>
      <c r="C975" s="216"/>
      <c r="D975" s="216"/>
      <c r="E975" s="216"/>
      <c r="F975" s="216"/>
      <c r="G975" s="216"/>
      <c r="H975" s="216"/>
      <c r="L975" s="216"/>
      <c r="N975" s="222"/>
    </row>
    <row r="976" spans="1:14" ht="12.75" customHeight="1" x14ac:dyDescent="0.25">
      <c r="A976" s="222"/>
      <c r="B976" s="222"/>
      <c r="C976" s="216"/>
      <c r="D976" s="216"/>
      <c r="E976" s="216"/>
      <c r="F976" s="216"/>
      <c r="G976" s="216"/>
      <c r="H976" s="216"/>
      <c r="L976" s="216"/>
      <c r="N976" s="222"/>
    </row>
    <row r="977" spans="1:14" ht="12.75" customHeight="1" x14ac:dyDescent="0.25">
      <c r="A977" s="222"/>
      <c r="B977" s="222"/>
      <c r="C977" s="216"/>
      <c r="D977" s="216"/>
      <c r="E977" s="216"/>
      <c r="F977" s="216"/>
      <c r="G977" s="216"/>
      <c r="H977" s="216"/>
      <c r="L977" s="216"/>
      <c r="N977" s="222"/>
    </row>
    <row r="978" spans="1:14" ht="12.75" customHeight="1" x14ac:dyDescent="0.25">
      <c r="A978" s="222"/>
      <c r="B978" s="222"/>
      <c r="C978" s="216"/>
      <c r="D978" s="216"/>
      <c r="E978" s="216"/>
      <c r="F978" s="216"/>
      <c r="G978" s="216"/>
      <c r="H978" s="216"/>
      <c r="L978" s="216"/>
      <c r="N978" s="222"/>
    </row>
    <row r="979" spans="1:14" ht="12.75" customHeight="1" x14ac:dyDescent="0.25">
      <c r="A979" s="222"/>
      <c r="B979" s="222"/>
      <c r="C979" s="216"/>
      <c r="D979" s="216"/>
      <c r="E979" s="216"/>
      <c r="F979" s="216"/>
      <c r="G979" s="216"/>
      <c r="H979" s="216"/>
      <c r="L979" s="216"/>
      <c r="N979" s="222"/>
    </row>
    <row r="980" spans="1:14" ht="12.75" customHeight="1" x14ac:dyDescent="0.25">
      <c r="A980" s="222"/>
      <c r="B980" s="222"/>
      <c r="C980" s="216"/>
      <c r="D980" s="216"/>
      <c r="E980" s="216"/>
      <c r="F980" s="216"/>
      <c r="G980" s="216"/>
      <c r="H980" s="216"/>
      <c r="L980" s="216"/>
      <c r="N980" s="222"/>
    </row>
    <row r="981" spans="1:14" ht="12.75" customHeight="1" x14ac:dyDescent="0.25">
      <c r="A981" s="222"/>
      <c r="B981" s="222"/>
      <c r="C981" s="216"/>
      <c r="D981" s="216"/>
      <c r="E981" s="216"/>
      <c r="F981" s="216"/>
      <c r="G981" s="216"/>
      <c r="H981" s="216"/>
      <c r="L981" s="216"/>
      <c r="N981" s="222"/>
    </row>
    <row r="982" spans="1:14" ht="12.75" customHeight="1" x14ac:dyDescent="0.25">
      <c r="A982" s="222"/>
      <c r="B982" s="222"/>
      <c r="C982" s="216"/>
      <c r="D982" s="216"/>
      <c r="E982" s="216"/>
      <c r="F982" s="216"/>
      <c r="G982" s="216"/>
      <c r="H982" s="216"/>
      <c r="L982" s="216"/>
      <c r="N982" s="222"/>
    </row>
    <row r="983" spans="1:14" ht="12.75" customHeight="1" x14ac:dyDescent="0.25">
      <c r="A983" s="222"/>
      <c r="B983" s="222"/>
      <c r="C983" s="216"/>
      <c r="D983" s="216"/>
      <c r="E983" s="216"/>
      <c r="F983" s="216"/>
      <c r="G983" s="216"/>
      <c r="H983" s="216"/>
      <c r="L983" s="216"/>
      <c r="N983" s="222"/>
    </row>
    <row r="984" spans="1:14" ht="12.75" customHeight="1" x14ac:dyDescent="0.25">
      <c r="A984" s="222"/>
      <c r="B984" s="222"/>
      <c r="C984" s="216"/>
      <c r="D984" s="216"/>
      <c r="E984" s="216"/>
      <c r="F984" s="216"/>
      <c r="G984" s="216"/>
      <c r="H984" s="216"/>
      <c r="L984" s="216"/>
      <c r="N984" s="222"/>
    </row>
    <row r="985" spans="1:14" ht="12.75" customHeight="1" x14ac:dyDescent="0.25">
      <c r="A985" s="222"/>
      <c r="B985" s="222"/>
      <c r="C985" s="216"/>
      <c r="D985" s="216"/>
      <c r="E985" s="216"/>
      <c r="F985" s="216"/>
      <c r="G985" s="216"/>
      <c r="H985" s="216"/>
      <c r="L985" s="216"/>
      <c r="N985" s="222"/>
    </row>
    <row r="986" spans="1:14" ht="12.75" customHeight="1" x14ac:dyDescent="0.25">
      <c r="A986" s="222"/>
      <c r="B986" s="222"/>
      <c r="C986" s="216"/>
      <c r="D986" s="216"/>
      <c r="E986" s="216"/>
      <c r="F986" s="216"/>
      <c r="G986" s="216"/>
      <c r="H986" s="216"/>
      <c r="L986" s="216"/>
      <c r="N986" s="222"/>
    </row>
    <row r="987" spans="1:14" ht="12.75" customHeight="1" x14ac:dyDescent="0.25">
      <c r="A987" s="222"/>
      <c r="B987" s="222"/>
      <c r="C987" s="216"/>
      <c r="D987" s="216"/>
      <c r="E987" s="216"/>
      <c r="F987" s="216"/>
      <c r="G987" s="216"/>
      <c r="H987" s="216"/>
      <c r="L987" s="216"/>
      <c r="N987" s="222"/>
    </row>
    <row r="988" spans="1:14" ht="12.75" customHeight="1" x14ac:dyDescent="0.25">
      <c r="A988" s="222"/>
      <c r="B988" s="222"/>
      <c r="C988" s="216"/>
      <c r="D988" s="216"/>
      <c r="E988" s="216"/>
      <c r="F988" s="216"/>
      <c r="G988" s="216"/>
      <c r="H988" s="216"/>
      <c r="L988" s="216"/>
      <c r="N988" s="222"/>
    </row>
    <row r="989" spans="1:14" ht="12.75" customHeight="1" x14ac:dyDescent="0.25">
      <c r="A989" s="222"/>
      <c r="B989" s="222"/>
      <c r="C989" s="216"/>
      <c r="D989" s="216"/>
      <c r="E989" s="216"/>
      <c r="F989" s="216"/>
      <c r="G989" s="216"/>
      <c r="H989" s="216"/>
      <c r="L989" s="216"/>
      <c r="N989" s="222"/>
    </row>
    <row r="990" spans="1:14" ht="12.75" customHeight="1" x14ac:dyDescent="0.25">
      <c r="A990" s="222"/>
      <c r="B990" s="222"/>
      <c r="C990" s="216"/>
      <c r="D990" s="216"/>
      <c r="E990" s="216"/>
      <c r="F990" s="216"/>
      <c r="G990" s="216"/>
      <c r="H990" s="216"/>
      <c r="L990" s="216"/>
      <c r="N990" s="222"/>
    </row>
    <row r="991" spans="1:14" ht="12.75" customHeight="1" x14ac:dyDescent="0.25">
      <c r="A991" s="222"/>
      <c r="B991" s="222"/>
      <c r="C991" s="216"/>
      <c r="D991" s="216"/>
      <c r="E991" s="216"/>
      <c r="F991" s="216"/>
      <c r="G991" s="216"/>
      <c r="H991" s="216"/>
      <c r="L991" s="216"/>
      <c r="N991" s="222"/>
    </row>
    <row r="992" spans="1:14" ht="12.75" customHeight="1" x14ac:dyDescent="0.25">
      <c r="A992" s="222"/>
      <c r="B992" s="222"/>
      <c r="C992" s="216"/>
      <c r="D992" s="216"/>
      <c r="E992" s="216"/>
      <c r="F992" s="216"/>
      <c r="G992" s="216"/>
      <c r="H992" s="216"/>
      <c r="L992" s="216"/>
      <c r="N992" s="222"/>
    </row>
    <row r="993" spans="1:14" ht="12.75" customHeight="1" x14ac:dyDescent="0.25">
      <c r="A993" s="222"/>
      <c r="B993" s="222"/>
      <c r="C993" s="216"/>
      <c r="D993" s="216"/>
      <c r="E993" s="216"/>
      <c r="F993" s="216"/>
      <c r="G993" s="216"/>
      <c r="H993" s="216"/>
      <c r="L993" s="216"/>
      <c r="N993" s="222"/>
    </row>
    <row r="994" spans="1:14" ht="12.75" customHeight="1" x14ac:dyDescent="0.25">
      <c r="A994" s="222"/>
      <c r="B994" s="222"/>
      <c r="C994" s="216"/>
      <c r="D994" s="216"/>
      <c r="E994" s="216"/>
      <c r="F994" s="216"/>
      <c r="G994" s="216"/>
      <c r="H994" s="216"/>
      <c r="L994" s="216"/>
      <c r="N994" s="222"/>
    </row>
    <row r="995" spans="1:14" ht="12.75" customHeight="1" x14ac:dyDescent="0.25">
      <c r="A995" s="222"/>
      <c r="B995" s="222"/>
      <c r="C995" s="216"/>
      <c r="D995" s="216"/>
      <c r="E995" s="216"/>
      <c r="F995" s="216"/>
      <c r="G995" s="216"/>
      <c r="H995" s="216"/>
      <c r="L995" s="216"/>
      <c r="N995" s="222"/>
    </row>
    <row r="996" spans="1:14" ht="12.75" customHeight="1" x14ac:dyDescent="0.25">
      <c r="A996" s="222"/>
      <c r="B996" s="222"/>
      <c r="C996" s="216"/>
      <c r="D996" s="216"/>
      <c r="E996" s="216"/>
      <c r="F996" s="216"/>
      <c r="G996" s="216"/>
      <c r="H996" s="216"/>
      <c r="L996" s="216"/>
      <c r="N996" s="222"/>
    </row>
    <row r="997" spans="1:14" ht="12.75" customHeight="1" x14ac:dyDescent="0.25">
      <c r="A997" s="222"/>
      <c r="B997" s="222"/>
      <c r="C997" s="216"/>
      <c r="D997" s="216"/>
      <c r="E997" s="216"/>
      <c r="F997" s="216"/>
      <c r="G997" s="216"/>
      <c r="H997" s="216"/>
      <c r="L997" s="216"/>
      <c r="N997" s="222"/>
    </row>
    <row r="998" spans="1:14" ht="12.75" customHeight="1" x14ac:dyDescent="0.25">
      <c r="A998" s="222"/>
      <c r="B998" s="222"/>
      <c r="C998" s="216"/>
      <c r="D998" s="216"/>
      <c r="E998" s="216"/>
      <c r="F998" s="216"/>
      <c r="G998" s="216"/>
      <c r="H998" s="216"/>
      <c r="L998" s="216"/>
      <c r="N998" s="222"/>
    </row>
    <row r="999" spans="1:14" ht="12.75" customHeight="1" x14ac:dyDescent="0.25">
      <c r="A999" s="222"/>
      <c r="B999" s="222"/>
      <c r="C999" s="216"/>
      <c r="D999" s="216"/>
      <c r="E999" s="216"/>
      <c r="F999" s="216"/>
      <c r="G999" s="216"/>
      <c r="H999" s="216"/>
      <c r="L999" s="216"/>
      <c r="N999" s="222"/>
    </row>
    <row r="1000" spans="1:14" ht="12.75" customHeight="1" x14ac:dyDescent="0.25">
      <c r="A1000" s="222"/>
      <c r="B1000" s="222"/>
      <c r="C1000" s="216"/>
      <c r="D1000" s="216"/>
      <c r="E1000" s="216"/>
      <c r="F1000" s="216"/>
      <c r="G1000" s="216"/>
      <c r="H1000" s="216"/>
      <c r="L1000" s="216"/>
      <c r="N1000" s="222"/>
    </row>
    <row r="1001" spans="1:14" ht="12.75" customHeight="1" x14ac:dyDescent="0.25">
      <c r="A1001" s="222"/>
      <c r="B1001" s="222"/>
      <c r="C1001" s="216"/>
      <c r="D1001" s="216"/>
      <c r="E1001" s="216"/>
      <c r="F1001" s="216"/>
      <c r="G1001" s="216"/>
      <c r="H1001" s="216"/>
      <c r="L1001" s="216"/>
      <c r="N1001" s="222"/>
    </row>
    <row r="1002" spans="1:14" ht="12.75" customHeight="1" x14ac:dyDescent="0.25">
      <c r="A1002" s="222"/>
      <c r="B1002" s="222"/>
      <c r="C1002" s="216"/>
      <c r="D1002" s="216"/>
      <c r="E1002" s="216"/>
      <c r="F1002" s="216"/>
      <c r="G1002" s="216"/>
      <c r="H1002" s="216"/>
      <c r="L1002" s="216"/>
      <c r="N1002" s="222"/>
    </row>
  </sheetData>
  <customSheetViews>
    <customSheetView guid="{106B7A88-9D1E-4D22-9DE1-7E44A908E830}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1"/>
    </customSheetView>
    <customSheetView guid="{CF50DB9B-0F8D-41A5-9576-F9345942CE97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B8CD8764-8103-4BA7-A294-F5FED5EA74ED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845F3A43-EF96-4057-9777-D2F2301CC149}" showPageBreaks="1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7.26953125" defaultRowHeight="15" customHeight="1" x14ac:dyDescent="0.25"/>
  <cols>
    <col min="1" max="1" width="77.26953125" customWidth="1"/>
    <col min="2" max="17" width="9.26953125" customWidth="1"/>
    <col min="18" max="26" width="10" customWidth="1"/>
  </cols>
  <sheetData>
    <row r="1" spans="1:26" ht="12.75" customHeight="1" x14ac:dyDescent="0.25">
      <c r="A1" s="222"/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</row>
    <row r="2" spans="1:26" ht="12.75" customHeight="1" x14ac:dyDescent="0.25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spans="1:26" ht="12.75" customHeight="1" x14ac:dyDescent="0.25">
      <c r="A3" s="245" t="s">
        <v>432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spans="1:26" ht="25.5" customHeight="1" x14ac:dyDescent="0.25">
      <c r="A4" s="245" t="s">
        <v>433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spans="1:26" ht="12.75" customHeight="1" x14ac:dyDescent="0.25">
      <c r="A5" s="245" t="s">
        <v>434</v>
      </c>
      <c r="B5" s="222"/>
      <c r="C5" s="222"/>
      <c r="D5" s="222"/>
      <c r="E5" s="222"/>
      <c r="F5" s="222" t="s">
        <v>435</v>
      </c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spans="1:26" ht="12.75" customHeight="1" x14ac:dyDescent="0.25">
      <c r="A6" s="245" t="s">
        <v>436</v>
      </c>
      <c r="B6" s="222"/>
      <c r="C6" s="222"/>
      <c r="D6" s="222"/>
      <c r="E6" s="222"/>
      <c r="F6" s="222" t="s">
        <v>85</v>
      </c>
      <c r="G6" s="222" t="s">
        <v>437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spans="1:26" ht="12.75" customHeight="1" x14ac:dyDescent="0.25">
      <c r="A7" s="245" t="s">
        <v>438</v>
      </c>
      <c r="B7" s="222"/>
      <c r="C7" s="222"/>
      <c r="D7" s="222"/>
      <c r="E7" s="222"/>
      <c r="F7" s="222" t="s">
        <v>439</v>
      </c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spans="1:26" ht="12.75" customHeight="1" x14ac:dyDescent="0.25">
      <c r="A8" s="245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spans="1:26" ht="12.75" customHeight="1" x14ac:dyDescent="0.25">
      <c r="A9" s="245" t="s">
        <v>440</v>
      </c>
      <c r="B9" s="222"/>
      <c r="C9" s="222"/>
      <c r="D9" s="222"/>
      <c r="E9" s="222"/>
      <c r="F9" s="222" t="s">
        <v>88</v>
      </c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spans="1:26" ht="12.75" customHeight="1" x14ac:dyDescent="0.25">
      <c r="A10" s="245" t="s">
        <v>441</v>
      </c>
      <c r="B10" s="222"/>
      <c r="C10" s="222"/>
      <c r="D10" s="222"/>
      <c r="E10" s="222"/>
      <c r="F10" s="222" t="s">
        <v>442</v>
      </c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spans="1:26" ht="12.75" customHeight="1" x14ac:dyDescent="0.25">
      <c r="A11" s="245" t="s">
        <v>443</v>
      </c>
      <c r="B11" s="222"/>
      <c r="C11" s="222"/>
      <c r="D11" s="222"/>
      <c r="E11" s="222"/>
      <c r="F11" s="222" t="s">
        <v>444</v>
      </c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spans="1:26" ht="12.75" customHeight="1" x14ac:dyDescent="0.25">
      <c r="A12" s="245" t="s">
        <v>445</v>
      </c>
      <c r="B12" s="222"/>
      <c r="C12" s="222"/>
      <c r="D12" s="222"/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spans="1:26" ht="12.75" customHeight="1" x14ac:dyDescent="0.25">
      <c r="A13" s="245" t="s">
        <v>446</v>
      </c>
      <c r="B13" s="222"/>
      <c r="C13" s="222"/>
      <c r="D13" s="222"/>
      <c r="E13" s="222"/>
      <c r="F13" s="222" t="s">
        <v>87</v>
      </c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spans="1:26" ht="12.75" customHeight="1" x14ac:dyDescent="0.25">
      <c r="A14" s="245"/>
      <c r="B14" s="222"/>
      <c r="C14" s="222"/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spans="1:26" ht="12.75" customHeight="1" x14ac:dyDescent="0.25">
      <c r="A15" s="245" t="s">
        <v>447</v>
      </c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spans="1:26" ht="12.75" customHeight="1" x14ac:dyDescent="0.25">
      <c r="A16" s="245" t="s">
        <v>448</v>
      </c>
      <c r="B16" s="222"/>
      <c r="C16" s="222"/>
      <c r="D16" s="222"/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spans="1:26" ht="12.75" customHeight="1" x14ac:dyDescent="0.25">
      <c r="A17" s="245" t="s">
        <v>449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spans="1:26" ht="25.5" customHeight="1" x14ac:dyDescent="0.3">
      <c r="A18" s="168" t="s">
        <v>450</v>
      </c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spans="1:26" ht="12.75" customHeight="1" x14ac:dyDescent="0.25">
      <c r="A19" s="245" t="s">
        <v>451</v>
      </c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spans="1:26" ht="12.75" customHeight="1" x14ac:dyDescent="0.25">
      <c r="A20" s="245"/>
      <c r="B20" s="222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spans="1:26" ht="25.5" customHeight="1" x14ac:dyDescent="0.25">
      <c r="A21" s="245" t="s">
        <v>452</v>
      </c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spans="1:26" ht="12.75" customHeight="1" x14ac:dyDescent="0.25">
      <c r="A22" s="245"/>
      <c r="B22" s="222"/>
      <c r="C22" s="222"/>
      <c r="D22" s="222"/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</row>
    <row r="23" spans="1:26" ht="12.75" customHeight="1" x14ac:dyDescent="0.25">
      <c r="A23" s="245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spans="1:26" ht="12.75" customHeight="1" x14ac:dyDescent="0.25">
      <c r="A24" s="245" t="s">
        <v>453</v>
      </c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spans="1:26" ht="12.75" customHeight="1" x14ac:dyDescent="0.25">
      <c r="A25" s="245"/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spans="1:26" ht="12.75" customHeight="1" x14ac:dyDescent="0.25">
      <c r="A26" s="245" t="s">
        <v>454</v>
      </c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spans="1:26" ht="12.75" customHeight="1" x14ac:dyDescent="0.25">
      <c r="A27" s="245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spans="1:26" ht="12.75" customHeight="1" x14ac:dyDescent="0.25">
      <c r="A28" s="245" t="s">
        <v>455</v>
      </c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spans="1:26" ht="25.5" customHeight="1" x14ac:dyDescent="0.25">
      <c r="A29" s="245" t="s">
        <v>456</v>
      </c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spans="1:26" ht="12.75" customHeight="1" x14ac:dyDescent="0.25">
      <c r="A30" s="245"/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spans="1:26" ht="12.75" customHeight="1" x14ac:dyDescent="0.25">
      <c r="A31" s="245" t="s">
        <v>457</v>
      </c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spans="1:26" ht="12.75" customHeight="1" x14ac:dyDescent="0.25">
      <c r="A32" s="245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spans="1:26" ht="12.75" customHeight="1" x14ac:dyDescent="0.3">
      <c r="A33" s="168" t="s">
        <v>458</v>
      </c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spans="1:26" ht="12.75" customHeight="1" x14ac:dyDescent="0.25">
      <c r="A34" s="245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spans="1:26" ht="12.75" customHeight="1" x14ac:dyDescent="0.25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spans="1:26" ht="12.75" customHeight="1" x14ac:dyDescent="0.25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spans="1:26" ht="12.75" customHeight="1" x14ac:dyDescent="0.25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spans="1:26" ht="12.75" customHeight="1" x14ac:dyDescent="0.25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spans="1:26" ht="12.75" customHeight="1" x14ac:dyDescent="0.25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spans="1:26" ht="12.75" customHeight="1" x14ac:dyDescent="0.25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spans="1:26" ht="12.75" customHeight="1" x14ac:dyDescent="0.25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spans="1:26" ht="12.75" customHeight="1" x14ac:dyDescent="0.25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spans="1:26" ht="12.75" customHeight="1" x14ac:dyDescent="0.25">
      <c r="A43" s="222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spans="1:26" ht="12.75" customHeight="1" x14ac:dyDescent="0.25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spans="1:26" ht="12.75" customHeight="1" x14ac:dyDescent="0.25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spans="1:26" ht="12.75" customHeight="1" x14ac:dyDescent="0.25">
      <c r="A46" s="222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spans="1:26" ht="12.75" customHeight="1" x14ac:dyDescent="0.25">
      <c r="A47" s="222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spans="1:26" ht="12.75" customHeight="1" x14ac:dyDescent="0.25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spans="1:26" ht="12.75" customHeight="1" x14ac:dyDescent="0.25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spans="1:26" ht="12.75" customHeight="1" x14ac:dyDescent="0.25">
      <c r="A50" s="222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spans="1:26" ht="12.75" customHeight="1" x14ac:dyDescent="0.25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spans="1:26" ht="12.75" customHeight="1" x14ac:dyDescent="0.25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spans="1:26" ht="12.75" customHeight="1" x14ac:dyDescent="0.25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spans="1:26" ht="12.75" customHeight="1" x14ac:dyDescent="0.25">
      <c r="A54" s="222"/>
      <c r="B54" s="222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spans="1:26" ht="12.75" customHeight="1" x14ac:dyDescent="0.25">
      <c r="A55" s="222"/>
      <c r="B55" s="222"/>
      <c r="C55" s="222"/>
      <c r="D55" s="222"/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spans="1:26" ht="12.75" customHeight="1" x14ac:dyDescent="0.25">
      <c r="A56" s="222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spans="1:26" ht="12.75" customHeight="1" x14ac:dyDescent="0.25">
      <c r="A57" s="222"/>
      <c r="B57" s="222"/>
      <c r="C57" s="222"/>
      <c r="D57" s="222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spans="1:26" ht="12.75" customHeight="1" x14ac:dyDescent="0.25">
      <c r="A58" s="222"/>
      <c r="B58" s="222"/>
      <c r="C58" s="222"/>
      <c r="D58" s="222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spans="1:26" ht="12.75" customHeight="1" x14ac:dyDescent="0.25">
      <c r="A59" s="222"/>
      <c r="B59" s="222"/>
      <c r="C59" s="222"/>
      <c r="D59" s="222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spans="1:26" ht="12.75" customHeight="1" x14ac:dyDescent="0.25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spans="1:26" ht="12.75" customHeight="1" x14ac:dyDescent="0.25">
      <c r="A61" s="222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spans="1:26" ht="12.75" customHeight="1" x14ac:dyDescent="0.25">
      <c r="A62" s="222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spans="1:26" ht="12.75" customHeight="1" x14ac:dyDescent="0.25">
      <c r="A63" s="222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spans="1:26" ht="12.75" customHeight="1" x14ac:dyDescent="0.25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spans="1:26" ht="12.75" customHeight="1" x14ac:dyDescent="0.25">
      <c r="A65" s="222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spans="1:26" ht="12.75" customHeight="1" x14ac:dyDescent="0.25">
      <c r="A66" s="222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spans="1:26" ht="12.75" customHeight="1" x14ac:dyDescent="0.25">
      <c r="A67" s="222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spans="1:26" ht="12.75" customHeight="1" x14ac:dyDescent="0.25">
      <c r="A68" s="222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spans="1:26" ht="12.75" customHeight="1" x14ac:dyDescent="0.25">
      <c r="A69" s="222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spans="1:26" ht="12.75" customHeight="1" x14ac:dyDescent="0.25">
      <c r="A70" s="222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spans="1:26" ht="12.75" customHeight="1" x14ac:dyDescent="0.25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spans="1:26" ht="12.75" customHeight="1" x14ac:dyDescent="0.25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spans="1:26" ht="12.75" customHeight="1" x14ac:dyDescent="0.25">
      <c r="A73" s="222"/>
      <c r="B73" s="222"/>
      <c r="C73" s="222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spans="1:26" ht="12.75" customHeight="1" x14ac:dyDescent="0.25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spans="1:26" ht="12.75" customHeight="1" x14ac:dyDescent="0.25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spans="1:26" ht="12.75" customHeight="1" x14ac:dyDescent="0.25">
      <c r="A76" s="222"/>
      <c r="B76" s="222"/>
      <c r="C76" s="222"/>
      <c r="D76" s="222"/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spans="1:26" ht="12.75" customHeight="1" x14ac:dyDescent="0.25">
      <c r="A77" s="222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spans="1:26" ht="12.75" customHeight="1" x14ac:dyDescent="0.25">
      <c r="A78" s="222"/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spans="1:26" ht="12.75" customHeight="1" x14ac:dyDescent="0.25">
      <c r="A79" s="222"/>
      <c r="B79" s="222"/>
      <c r="C79" s="222"/>
      <c r="D79" s="222"/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spans="1:26" ht="12.75" customHeight="1" x14ac:dyDescent="0.25">
      <c r="A80" s="222"/>
      <c r="B80" s="222"/>
      <c r="C80" s="222"/>
      <c r="D80" s="222"/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spans="1:26" ht="12.75" customHeight="1" x14ac:dyDescent="0.25">
      <c r="A81" s="222"/>
      <c r="B81" s="222"/>
      <c r="C81" s="222"/>
      <c r="D81" s="222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spans="1:26" ht="12.75" customHeight="1" x14ac:dyDescent="0.25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spans="1:26" ht="12.75" customHeight="1" x14ac:dyDescent="0.25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spans="1:26" ht="12.75" customHeight="1" x14ac:dyDescent="0.25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spans="1:26" ht="12.75" customHeight="1" x14ac:dyDescent="0.25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spans="1:26" ht="12.75" customHeight="1" x14ac:dyDescent="0.25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spans="1:26" ht="12.75" customHeight="1" x14ac:dyDescent="0.25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spans="1:26" ht="12.75" customHeight="1" x14ac:dyDescent="0.25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spans="1:26" ht="12.75" customHeight="1" x14ac:dyDescent="0.25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spans="1:26" ht="12.75" customHeight="1" x14ac:dyDescent="0.25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spans="1:26" ht="12.75" customHeight="1" x14ac:dyDescent="0.25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spans="1:26" ht="12.75" customHeight="1" x14ac:dyDescent="0.25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spans="1:26" ht="12.75" customHeight="1" x14ac:dyDescent="0.25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spans="1:26" ht="12.75" customHeight="1" x14ac:dyDescent="0.25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spans="1:26" ht="12.75" customHeight="1" x14ac:dyDescent="0.25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spans="1:26" ht="12.75" customHeight="1" x14ac:dyDescent="0.25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spans="1:26" ht="12.75" customHeight="1" x14ac:dyDescent="0.25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spans="1:26" ht="12.75" customHeight="1" x14ac:dyDescent="0.25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spans="1:26" ht="12.75" customHeight="1" x14ac:dyDescent="0.25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spans="1:26" ht="12.75" customHeight="1" x14ac:dyDescent="0.25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spans="1:26" ht="12.75" customHeigh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spans="1:26" ht="12.75" customHeight="1" x14ac:dyDescent="0.25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spans="1:26" ht="12.75" customHeight="1" x14ac:dyDescent="0.25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spans="1:26" ht="12.75" customHeight="1" x14ac:dyDescent="0.25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spans="1:26" ht="12.75" customHeight="1" x14ac:dyDescent="0.25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spans="1:26" ht="12.75" customHeight="1" x14ac:dyDescent="0.25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spans="1:26" ht="12.75" customHeight="1" x14ac:dyDescent="0.25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spans="1:26" ht="12.75" customHeight="1" x14ac:dyDescent="0.25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spans="1:26" ht="12.75" customHeight="1" x14ac:dyDescent="0.25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spans="1:26" ht="12.75" customHeight="1" x14ac:dyDescent="0.25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spans="1:26" ht="12.75" customHeight="1" x14ac:dyDescent="0.25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spans="1:26" ht="12.75" customHeight="1" x14ac:dyDescent="0.25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spans="1:26" ht="12.75" customHeight="1" x14ac:dyDescent="0.25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spans="1:26" ht="12.75" customHeight="1" x14ac:dyDescent="0.25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spans="1:26" ht="12.75" customHeight="1" x14ac:dyDescent="0.25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spans="1:26" ht="12.75" customHeight="1" x14ac:dyDescent="0.25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spans="1:26" ht="12.75" customHeight="1" x14ac:dyDescent="0.25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spans="1:26" ht="12.75" customHeight="1" x14ac:dyDescent="0.25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spans="1:26" ht="12.75" customHeight="1" x14ac:dyDescent="0.25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spans="1:26" ht="12.75" customHeight="1" x14ac:dyDescent="0.25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spans="1:26" ht="12.75" customHeight="1" x14ac:dyDescent="0.25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spans="1:26" ht="12.75" customHeight="1" x14ac:dyDescent="0.25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spans="1:26" ht="12.75" customHeight="1" x14ac:dyDescent="0.25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spans="1:26" ht="12.75" customHeight="1" x14ac:dyDescent="0.25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spans="1:26" ht="12.75" customHeight="1" x14ac:dyDescent="0.25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spans="1:26" ht="12.75" customHeight="1" x14ac:dyDescent="0.25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spans="1:26" ht="12.75" customHeight="1" x14ac:dyDescent="0.25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spans="1:26" ht="12.75" customHeight="1" x14ac:dyDescent="0.25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spans="1:26" ht="12.75" customHeight="1" x14ac:dyDescent="0.25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spans="1:26" ht="12.75" customHeight="1" x14ac:dyDescent="0.25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spans="1:26" ht="12.75" customHeight="1" x14ac:dyDescent="0.25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spans="1:26" ht="12.75" customHeight="1" x14ac:dyDescent="0.25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spans="1:26" ht="12.75" customHeight="1" x14ac:dyDescent="0.25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spans="1:26" ht="12.75" customHeight="1" x14ac:dyDescent="0.25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spans="1:26" ht="12.75" customHeight="1" x14ac:dyDescent="0.25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spans="1:26" ht="12.75" customHeight="1" x14ac:dyDescent="0.25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spans="1:26" ht="12.75" customHeight="1" x14ac:dyDescent="0.25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spans="1:26" ht="12.75" customHeight="1" x14ac:dyDescent="0.25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spans="1:26" ht="12.75" customHeight="1" x14ac:dyDescent="0.25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spans="1:26" ht="12.75" customHeight="1" x14ac:dyDescent="0.25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spans="1:26" ht="12.75" customHeight="1" x14ac:dyDescent="0.25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spans="1:26" ht="12.75" customHeight="1" x14ac:dyDescent="0.25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spans="1:26" ht="12.75" customHeight="1" x14ac:dyDescent="0.25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spans="1:26" ht="12.75" customHeight="1" x14ac:dyDescent="0.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spans="1:26" ht="12.75" customHeight="1" x14ac:dyDescent="0.25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spans="1:26" ht="12.75" customHeight="1" x14ac:dyDescent="0.25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spans="1:26" ht="12.75" customHeight="1" x14ac:dyDescent="0.25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spans="1:26" ht="12.75" customHeight="1" x14ac:dyDescent="0.25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2.75" customHeight="1" x14ac:dyDescent="0.25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spans="1:26" ht="12.75" customHeight="1" x14ac:dyDescent="0.25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spans="1:26" ht="12.75" customHeight="1" x14ac:dyDescent="0.25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spans="1:26" ht="12.75" customHeight="1" x14ac:dyDescent="0.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spans="1:26" ht="12.75" customHeight="1" x14ac:dyDescent="0.25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spans="1:26" ht="12.75" customHeight="1" x14ac:dyDescent="0.25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spans="1:26" ht="12.75" customHeight="1" x14ac:dyDescent="0.25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spans="1:26" ht="12.75" customHeight="1" x14ac:dyDescent="0.25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spans="1:26" ht="12.75" customHeight="1" x14ac:dyDescent="0.25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spans="1:26" ht="12.75" customHeight="1" x14ac:dyDescent="0.25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spans="1:26" ht="12.75" customHeight="1" x14ac:dyDescent="0.25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spans="1:26" ht="12.75" customHeight="1" x14ac:dyDescent="0.25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spans="1:26" ht="12.75" customHeight="1" x14ac:dyDescent="0.25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spans="1:26" ht="12.75" customHeight="1" x14ac:dyDescent="0.25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spans="1:26" ht="12.75" customHeight="1" x14ac:dyDescent="0.25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spans="1:26" ht="12.75" customHeight="1" x14ac:dyDescent="0.25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spans="1:26" ht="12.75" customHeight="1" x14ac:dyDescent="0.25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spans="1:26" ht="12.75" customHeight="1" x14ac:dyDescent="0.25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spans="1:26" ht="12.75" customHeight="1" x14ac:dyDescent="0.25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spans="1:26" ht="12.75" customHeight="1" x14ac:dyDescent="0.25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spans="1:26" ht="12.75" customHeight="1" x14ac:dyDescent="0.25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spans="1:26" ht="12.75" customHeight="1" x14ac:dyDescent="0.25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spans="1:26" ht="12.75" customHeight="1" x14ac:dyDescent="0.25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spans="1:26" ht="12.75" customHeight="1" x14ac:dyDescent="0.25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spans="1:26" ht="12.75" customHeight="1" x14ac:dyDescent="0.25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spans="1:26" ht="12.75" customHeight="1" x14ac:dyDescent="0.25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spans="1:26" ht="12.75" customHeight="1" x14ac:dyDescent="0.25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spans="1:26" ht="12.75" customHeight="1" x14ac:dyDescent="0.25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spans="1:26" ht="12.75" customHeight="1" x14ac:dyDescent="0.25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spans="1:26" ht="12.75" customHeight="1" x14ac:dyDescent="0.25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spans="1:26" ht="12.75" customHeight="1" x14ac:dyDescent="0.25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spans="1:26" ht="12.75" customHeight="1" x14ac:dyDescent="0.25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spans="1:26" ht="12.75" customHeight="1" x14ac:dyDescent="0.25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spans="1:26" ht="12.75" customHeight="1" x14ac:dyDescent="0.25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spans="1:26" ht="12.75" customHeight="1" x14ac:dyDescent="0.25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spans="1:26" ht="12.75" customHeight="1" x14ac:dyDescent="0.25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spans="1:26" ht="12.75" customHeight="1" x14ac:dyDescent="0.25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spans="1:26" ht="12.75" customHeight="1" x14ac:dyDescent="0.25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spans="1:26" ht="12.75" customHeight="1" x14ac:dyDescent="0.25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spans="1:26" ht="12.75" customHeight="1" x14ac:dyDescent="0.25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spans="1:26" ht="12.75" customHeight="1" x14ac:dyDescent="0.25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spans="1:26" ht="12.75" customHeight="1" x14ac:dyDescent="0.25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2.75" customHeight="1" x14ac:dyDescent="0.25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spans="1:26" ht="12.75" customHeight="1" x14ac:dyDescent="0.25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spans="1:26" ht="12.75" customHeight="1" x14ac:dyDescent="0.25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spans="1:26" ht="12.75" customHeight="1" x14ac:dyDescent="0.25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spans="1:26" ht="12.75" customHeight="1" x14ac:dyDescent="0.25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spans="1:26" ht="12.75" customHeight="1" x14ac:dyDescent="0.25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spans="1:26" ht="12.75" customHeight="1" x14ac:dyDescent="0.25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2.75" customHeight="1" x14ac:dyDescent="0.25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spans="1:26" ht="12.75" customHeight="1" x14ac:dyDescent="0.25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spans="1:26" ht="12.75" customHeight="1" x14ac:dyDescent="0.25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spans="1:26" ht="12.75" customHeight="1" x14ac:dyDescent="0.25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spans="1:26" ht="12.75" customHeight="1" x14ac:dyDescent="0.25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spans="1:26" ht="12.75" customHeight="1" x14ac:dyDescent="0.25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spans="1:26" ht="12.75" customHeight="1" x14ac:dyDescent="0.25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spans="1:26" ht="12.75" customHeight="1" x14ac:dyDescent="0.25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spans="1:26" ht="12.75" customHeight="1" x14ac:dyDescent="0.25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spans="1:26" ht="12.75" customHeight="1" x14ac:dyDescent="0.25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spans="1:26" ht="12.75" customHeight="1" x14ac:dyDescent="0.25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spans="1:26" ht="12.75" customHeight="1" x14ac:dyDescent="0.25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spans="1:26" ht="12.75" customHeight="1" x14ac:dyDescent="0.25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spans="1:26" ht="12.75" customHeight="1" x14ac:dyDescent="0.25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spans="1:26" ht="12.75" customHeight="1" x14ac:dyDescent="0.25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spans="1:26" ht="12.75" customHeight="1" x14ac:dyDescent="0.25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spans="1:26" ht="12.75" customHeight="1" x14ac:dyDescent="0.25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spans="1:26" ht="12.75" customHeight="1" x14ac:dyDescent="0.25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spans="1:26" ht="12.75" customHeight="1" x14ac:dyDescent="0.25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2.75" customHeight="1" x14ac:dyDescent="0.25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spans="1:26" ht="12.75" customHeight="1" x14ac:dyDescent="0.25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spans="1:26" ht="12.75" customHeight="1" x14ac:dyDescent="0.25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spans="1:26" ht="12.75" customHeight="1" x14ac:dyDescent="0.25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spans="1:26" ht="12.75" customHeight="1" x14ac:dyDescent="0.25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spans="1:26" ht="12.75" customHeight="1" x14ac:dyDescent="0.25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spans="1:26" ht="12.75" customHeight="1" x14ac:dyDescent="0.25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spans="1:26" ht="12.75" customHeight="1" x14ac:dyDescent="0.25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spans="1:26" ht="12.75" customHeight="1" x14ac:dyDescent="0.25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spans="1:26" ht="12.75" customHeight="1" x14ac:dyDescent="0.25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spans="1:26" ht="12.75" customHeight="1" x14ac:dyDescent="0.25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spans="1:26" ht="12.75" customHeight="1" x14ac:dyDescent="0.25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spans="1:26" ht="12.75" customHeight="1" x14ac:dyDescent="0.25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spans="1:26" ht="12.75" customHeight="1" x14ac:dyDescent="0.25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spans="1:26" ht="12.75" customHeight="1" x14ac:dyDescent="0.25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spans="1:26" ht="12.75" customHeight="1" x14ac:dyDescent="0.25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spans="1:26" ht="12.75" customHeight="1" x14ac:dyDescent="0.25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spans="1:26" ht="12.75" customHeight="1" x14ac:dyDescent="0.25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spans="1:26" ht="12.75" customHeight="1" x14ac:dyDescent="0.25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spans="1:26" ht="12.75" customHeight="1" x14ac:dyDescent="0.25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spans="1:26" ht="12.75" customHeight="1" x14ac:dyDescent="0.25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spans="1:26" ht="12.75" customHeight="1" x14ac:dyDescent="0.25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spans="1:26" ht="12.75" customHeight="1" x14ac:dyDescent="0.25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spans="1:26" ht="12.75" customHeight="1" x14ac:dyDescent="0.25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spans="1:26" ht="12.75" customHeight="1" x14ac:dyDescent="0.25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spans="1:26" ht="12.75" customHeight="1" x14ac:dyDescent="0.25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spans="1:26" ht="12.75" customHeight="1" x14ac:dyDescent="0.25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spans="1:26" ht="12.75" customHeigh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spans="1:26" ht="12.75" customHeight="1" x14ac:dyDescent="0.25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spans="1:26" ht="12.75" customHeight="1" x14ac:dyDescent="0.25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spans="1:26" ht="12.75" customHeight="1" x14ac:dyDescent="0.25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spans="1:26" ht="12.75" customHeight="1" x14ac:dyDescent="0.25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spans="1:26" ht="12.75" customHeight="1" x14ac:dyDescent="0.25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spans="1:26" ht="12.75" customHeight="1" x14ac:dyDescent="0.25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spans="1:26" ht="12.75" customHeight="1" x14ac:dyDescent="0.25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spans="1:26" ht="12.75" customHeight="1" x14ac:dyDescent="0.25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spans="1:26" ht="12.75" customHeight="1" x14ac:dyDescent="0.25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spans="1:26" ht="12.75" customHeight="1" x14ac:dyDescent="0.25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spans="1:26" ht="12.75" customHeight="1" x14ac:dyDescent="0.25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spans="1:26" ht="12.75" customHeight="1" x14ac:dyDescent="0.25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spans="1:26" ht="12.75" customHeight="1" x14ac:dyDescent="0.25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spans="1:26" ht="12.75" customHeight="1" x14ac:dyDescent="0.25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spans="1:26" ht="12.75" customHeight="1" x14ac:dyDescent="0.25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spans="1:26" ht="12.75" customHeight="1" x14ac:dyDescent="0.25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spans="1:26" ht="12.75" customHeight="1" x14ac:dyDescent="0.25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spans="1:26" ht="12.75" customHeight="1" x14ac:dyDescent="0.25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spans="1:26" ht="12.75" customHeight="1" x14ac:dyDescent="0.25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spans="1:26" ht="12.75" customHeight="1" x14ac:dyDescent="0.25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spans="1:26" ht="12.75" customHeight="1" x14ac:dyDescent="0.25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spans="1:26" ht="12.75" customHeight="1" x14ac:dyDescent="0.25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spans="1:26" ht="12.75" customHeight="1" x14ac:dyDescent="0.25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spans="1:26" ht="12.75" customHeight="1" x14ac:dyDescent="0.25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spans="1:26" ht="12.75" customHeight="1" x14ac:dyDescent="0.25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spans="1:26" ht="12.75" customHeight="1" x14ac:dyDescent="0.25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spans="1:26" ht="12.75" customHeight="1" x14ac:dyDescent="0.25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spans="1:26" ht="12.75" customHeight="1" x14ac:dyDescent="0.25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spans="1:26" ht="12.75" customHeight="1" x14ac:dyDescent="0.25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spans="1:26" ht="12.75" customHeight="1" x14ac:dyDescent="0.25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spans="1:26" ht="12.75" customHeight="1" x14ac:dyDescent="0.25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spans="1:26" ht="12.75" customHeight="1" x14ac:dyDescent="0.25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spans="1:26" ht="12.75" customHeight="1" x14ac:dyDescent="0.25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spans="1:26" ht="12.75" customHeight="1" x14ac:dyDescent="0.25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spans="1:26" ht="12.75" customHeight="1" x14ac:dyDescent="0.25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spans="1:26" ht="12.75" customHeight="1" x14ac:dyDescent="0.25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spans="1:26" ht="12.75" customHeight="1" x14ac:dyDescent="0.25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spans="1:26" ht="12.75" customHeight="1" x14ac:dyDescent="0.25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spans="1:26" ht="12.75" customHeight="1" x14ac:dyDescent="0.25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spans="1:26" ht="12.75" customHeight="1" x14ac:dyDescent="0.25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spans="1:26" ht="12.75" customHeight="1" x14ac:dyDescent="0.25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spans="1:26" ht="12.75" customHeight="1" x14ac:dyDescent="0.25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spans="1:26" ht="12.75" customHeight="1" x14ac:dyDescent="0.25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spans="1:26" ht="12.75" customHeight="1" x14ac:dyDescent="0.25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spans="1:26" ht="12.75" customHeight="1" x14ac:dyDescent="0.25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spans="1:26" ht="12.75" customHeight="1" x14ac:dyDescent="0.25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spans="1:26" ht="12.75" customHeight="1" x14ac:dyDescent="0.25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spans="1:26" ht="12.75" customHeight="1" x14ac:dyDescent="0.25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spans="1:26" ht="12.75" customHeight="1" x14ac:dyDescent="0.25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spans="1:26" ht="12.75" customHeight="1" x14ac:dyDescent="0.25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spans="1:26" ht="12.75" customHeight="1" x14ac:dyDescent="0.25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spans="1:26" ht="12.75" customHeight="1" x14ac:dyDescent="0.25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spans="1:26" ht="12.75" customHeight="1" x14ac:dyDescent="0.25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spans="1:26" ht="12.75" customHeight="1" x14ac:dyDescent="0.25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spans="1:26" ht="12.75" customHeight="1" x14ac:dyDescent="0.25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spans="1:26" ht="12.75" customHeight="1" x14ac:dyDescent="0.25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spans="1:26" ht="12.75" customHeight="1" x14ac:dyDescent="0.25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spans="1:26" ht="12.75" customHeight="1" x14ac:dyDescent="0.25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spans="1:26" ht="12.75" customHeight="1" x14ac:dyDescent="0.25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spans="1:26" ht="12.75" customHeight="1" x14ac:dyDescent="0.25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spans="1:26" ht="12.75" customHeight="1" x14ac:dyDescent="0.25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spans="1:26" ht="12.75" customHeight="1" x14ac:dyDescent="0.25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spans="1:26" ht="12.75" customHeight="1" x14ac:dyDescent="0.25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spans="1:26" ht="12.75" customHeight="1" x14ac:dyDescent="0.25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spans="1:26" ht="12.75" customHeight="1" x14ac:dyDescent="0.25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spans="1:26" ht="12.75" customHeight="1" x14ac:dyDescent="0.25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spans="1:26" ht="12.75" customHeight="1" x14ac:dyDescent="0.25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spans="1:26" ht="12.75" customHeight="1" x14ac:dyDescent="0.25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spans="1:26" ht="12.75" customHeight="1" x14ac:dyDescent="0.25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spans="1:26" ht="12.75" customHeight="1" x14ac:dyDescent="0.25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spans="1:26" ht="12.75" customHeight="1" x14ac:dyDescent="0.25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spans="1:26" ht="12.75" customHeight="1" x14ac:dyDescent="0.25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spans="1:26" ht="12.75" customHeight="1" x14ac:dyDescent="0.25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spans="1:26" ht="12.75" customHeight="1" x14ac:dyDescent="0.25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spans="1:26" ht="12.75" customHeight="1" x14ac:dyDescent="0.25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spans="1:26" ht="12.75" customHeight="1" x14ac:dyDescent="0.25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spans="1:26" ht="12.75" customHeight="1" x14ac:dyDescent="0.25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spans="1:26" ht="12.75" customHeight="1" x14ac:dyDescent="0.25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spans="1:26" ht="12.75" customHeight="1" x14ac:dyDescent="0.25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spans="1:26" ht="12.75" customHeight="1" x14ac:dyDescent="0.25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spans="1:26" ht="12.75" customHeight="1" x14ac:dyDescent="0.25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spans="1:26" ht="12.75" customHeight="1" x14ac:dyDescent="0.25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spans="1:26" ht="12.75" customHeight="1" x14ac:dyDescent="0.25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spans="1:26" ht="12.75" customHeight="1" x14ac:dyDescent="0.25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spans="1:26" ht="12.75" customHeight="1" x14ac:dyDescent="0.25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spans="1:26" ht="12.75" customHeight="1" x14ac:dyDescent="0.25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spans="1:26" ht="12.75" customHeight="1" x14ac:dyDescent="0.25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spans="1:26" ht="12.75" customHeight="1" x14ac:dyDescent="0.25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spans="1:26" ht="12.75" customHeight="1" x14ac:dyDescent="0.25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spans="1:26" ht="12.75" customHeight="1" x14ac:dyDescent="0.25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spans="1:26" ht="12.75" customHeight="1" x14ac:dyDescent="0.25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spans="1:26" ht="12.75" customHeight="1" x14ac:dyDescent="0.25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spans="1:26" ht="12.75" customHeight="1" x14ac:dyDescent="0.25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spans="1:26" ht="12.75" customHeight="1" x14ac:dyDescent="0.25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spans="1:26" ht="12.75" customHeight="1" x14ac:dyDescent="0.25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spans="1:26" ht="12.75" customHeight="1" x14ac:dyDescent="0.25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spans="1:26" ht="12.75" customHeight="1" x14ac:dyDescent="0.25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spans="1:26" ht="12.75" customHeight="1" x14ac:dyDescent="0.25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spans="1:26" ht="12.75" customHeight="1" x14ac:dyDescent="0.25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spans="1:26" ht="12.75" customHeight="1" x14ac:dyDescent="0.25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spans="1:26" ht="12.75" customHeight="1" x14ac:dyDescent="0.25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spans="1:26" ht="12.75" customHeight="1" x14ac:dyDescent="0.25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spans="1:26" ht="12.75" customHeight="1" x14ac:dyDescent="0.25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spans="1:26" ht="12.75" customHeight="1" x14ac:dyDescent="0.25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spans="1:26" ht="12.75" customHeight="1" x14ac:dyDescent="0.25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spans="1:26" ht="12.75" customHeight="1" x14ac:dyDescent="0.2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spans="1:26" ht="12.75" customHeight="1" x14ac:dyDescent="0.25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spans="1:26" ht="12.75" customHeight="1" x14ac:dyDescent="0.25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spans="1:26" ht="12.75" customHeight="1" x14ac:dyDescent="0.25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spans="1:26" ht="12.75" customHeight="1" x14ac:dyDescent="0.25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spans="1:26" ht="12.75" customHeight="1" x14ac:dyDescent="0.25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spans="1:26" ht="12.75" customHeight="1" x14ac:dyDescent="0.25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spans="1:26" ht="12.75" customHeight="1" x14ac:dyDescent="0.25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spans="1:26" ht="12.75" customHeight="1" x14ac:dyDescent="0.25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spans="1:26" ht="12.75" customHeight="1" x14ac:dyDescent="0.25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spans="1:26" ht="12.75" customHeight="1" x14ac:dyDescent="0.25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spans="1:26" ht="12.75" customHeight="1" x14ac:dyDescent="0.25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spans="1:26" ht="12.75" customHeight="1" x14ac:dyDescent="0.25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spans="1:26" ht="12.75" customHeight="1" x14ac:dyDescent="0.25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spans="1:26" ht="12.75" customHeight="1" x14ac:dyDescent="0.25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spans="1:26" ht="12.75" customHeight="1" x14ac:dyDescent="0.25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spans="1:26" ht="12.75" customHeight="1" x14ac:dyDescent="0.25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spans="1:26" ht="12.75" customHeight="1" x14ac:dyDescent="0.25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spans="1:26" ht="12.75" customHeight="1" x14ac:dyDescent="0.25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spans="1:26" ht="12.75" customHeight="1" x14ac:dyDescent="0.25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spans="1:26" ht="12.75" customHeight="1" x14ac:dyDescent="0.25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spans="1:26" ht="12.75" customHeight="1" x14ac:dyDescent="0.25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spans="1:26" ht="12.75" customHeight="1" x14ac:dyDescent="0.25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spans="1:26" ht="12.75" customHeight="1" x14ac:dyDescent="0.25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spans="1:26" ht="12.75" customHeight="1" x14ac:dyDescent="0.25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spans="1:26" ht="12.75" customHeight="1" x14ac:dyDescent="0.25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spans="1:26" ht="12.75" customHeight="1" x14ac:dyDescent="0.25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spans="1:26" ht="12.75" customHeight="1" x14ac:dyDescent="0.25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spans="1:26" ht="12.75" customHeight="1" x14ac:dyDescent="0.25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spans="1:26" ht="12.75" customHeight="1" x14ac:dyDescent="0.25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spans="1:26" ht="12.75" customHeight="1" x14ac:dyDescent="0.25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spans="1:26" ht="12.75" customHeight="1" x14ac:dyDescent="0.25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spans="1:26" ht="12.75" customHeight="1" x14ac:dyDescent="0.25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spans="1:26" ht="12.75" customHeight="1" x14ac:dyDescent="0.25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spans="1:26" ht="12.75" customHeight="1" x14ac:dyDescent="0.25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spans="1:26" ht="12.75" customHeight="1" x14ac:dyDescent="0.25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spans="1:26" ht="12.75" customHeight="1" x14ac:dyDescent="0.25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spans="1:26" ht="12.75" customHeight="1" x14ac:dyDescent="0.25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spans="1:26" ht="12.75" customHeight="1" x14ac:dyDescent="0.25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spans="1:26" ht="12.75" customHeight="1" x14ac:dyDescent="0.25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spans="1:26" ht="12.75" customHeight="1" x14ac:dyDescent="0.25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spans="1:26" ht="12.75" customHeight="1" x14ac:dyDescent="0.25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spans="1:26" ht="12.75" customHeight="1" x14ac:dyDescent="0.25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spans="1:26" ht="12.75" customHeight="1" x14ac:dyDescent="0.25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spans="1:26" ht="12.75" customHeight="1" x14ac:dyDescent="0.25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spans="1:26" ht="12.75" customHeight="1" x14ac:dyDescent="0.25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spans="1:26" ht="12.75" customHeight="1" x14ac:dyDescent="0.25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spans="1:26" ht="12.75" customHeight="1" x14ac:dyDescent="0.25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spans="1:26" ht="12.75" customHeight="1" x14ac:dyDescent="0.25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spans="1:26" ht="12.75" customHeight="1" x14ac:dyDescent="0.25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spans="1:26" ht="12.75" customHeight="1" x14ac:dyDescent="0.25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spans="1:26" ht="12.75" customHeight="1" x14ac:dyDescent="0.25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spans="1:26" ht="12.75" customHeight="1" x14ac:dyDescent="0.25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spans="1:26" ht="12.75" customHeight="1" x14ac:dyDescent="0.25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spans="1:26" ht="12.75" customHeight="1" x14ac:dyDescent="0.25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spans="1:26" ht="12.75" customHeight="1" x14ac:dyDescent="0.25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spans="1:26" ht="12.75" customHeight="1" x14ac:dyDescent="0.25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spans="1:26" ht="12.75" customHeight="1" x14ac:dyDescent="0.25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spans="1:26" ht="12.75" customHeight="1" x14ac:dyDescent="0.25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spans="1:26" ht="12.75" customHeight="1" x14ac:dyDescent="0.25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spans="1:26" ht="12.75" customHeight="1" x14ac:dyDescent="0.25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spans="1:26" ht="12.75" customHeight="1" x14ac:dyDescent="0.25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spans="1:26" ht="12.75" customHeight="1" x14ac:dyDescent="0.25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spans="1:26" ht="12.75" customHeight="1" x14ac:dyDescent="0.25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spans="1:26" ht="12.75" customHeight="1" x14ac:dyDescent="0.25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spans="1:26" ht="12.75" customHeight="1" x14ac:dyDescent="0.25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spans="1:26" ht="12.75" customHeight="1" x14ac:dyDescent="0.25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spans="1:26" ht="12.75" customHeight="1" x14ac:dyDescent="0.25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spans="1:26" ht="12.75" customHeight="1" x14ac:dyDescent="0.25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spans="1:26" ht="12.75" customHeight="1" x14ac:dyDescent="0.25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spans="1:26" ht="12.75" customHeight="1" x14ac:dyDescent="0.25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spans="1:26" ht="12.75" customHeight="1" x14ac:dyDescent="0.25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spans="1:26" ht="12.75" customHeight="1" x14ac:dyDescent="0.25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spans="1:26" ht="12.75" customHeight="1" x14ac:dyDescent="0.25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spans="1:26" ht="12.75" customHeight="1" x14ac:dyDescent="0.25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spans="1:26" ht="12.75" customHeight="1" x14ac:dyDescent="0.25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spans="1:26" ht="12.75" customHeight="1" x14ac:dyDescent="0.25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spans="1:26" ht="12.75" customHeight="1" x14ac:dyDescent="0.25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spans="1:26" ht="12.75" customHeight="1" x14ac:dyDescent="0.25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spans="1:26" ht="12.75" customHeight="1" x14ac:dyDescent="0.25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spans="1:26" ht="12.75" customHeight="1" x14ac:dyDescent="0.25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spans="1:26" ht="12.75" customHeight="1" x14ac:dyDescent="0.25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spans="1:26" ht="12.75" customHeight="1" x14ac:dyDescent="0.25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spans="1:26" ht="12.75" customHeight="1" x14ac:dyDescent="0.25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spans="1:26" ht="12.75" customHeight="1" x14ac:dyDescent="0.25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spans="1:26" ht="12.75" customHeight="1" x14ac:dyDescent="0.25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spans="1:26" ht="12.75" customHeight="1" x14ac:dyDescent="0.25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spans="1:26" ht="12.75" customHeight="1" x14ac:dyDescent="0.25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spans="1:26" ht="12.75" customHeight="1" x14ac:dyDescent="0.25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spans="1:26" ht="12.75" customHeight="1" x14ac:dyDescent="0.25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spans="1:26" ht="12.75" customHeight="1" x14ac:dyDescent="0.25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spans="1:26" ht="12.75" customHeight="1" x14ac:dyDescent="0.25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spans="1:26" ht="12.75" customHeight="1" x14ac:dyDescent="0.25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spans="1:26" ht="12.75" customHeight="1" x14ac:dyDescent="0.25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spans="1:26" ht="12.75" customHeight="1" x14ac:dyDescent="0.25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spans="1:26" ht="12.75" customHeight="1" x14ac:dyDescent="0.25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spans="1:26" ht="12.75" customHeight="1" x14ac:dyDescent="0.25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spans="1:26" ht="12.75" customHeight="1" x14ac:dyDescent="0.25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spans="1:26" ht="12.75" customHeight="1" x14ac:dyDescent="0.25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spans="1:26" ht="12.75" customHeight="1" x14ac:dyDescent="0.25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spans="1:26" ht="12.75" customHeight="1" x14ac:dyDescent="0.25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spans="1:26" ht="12.75" customHeight="1" x14ac:dyDescent="0.25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spans="1:26" ht="12.75" customHeight="1" x14ac:dyDescent="0.25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spans="1:26" ht="12.75" customHeight="1" x14ac:dyDescent="0.25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spans="1:26" ht="12.75" customHeight="1" x14ac:dyDescent="0.25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spans="1:26" ht="12.75" customHeight="1" x14ac:dyDescent="0.25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spans="1:26" ht="12.75" customHeight="1" x14ac:dyDescent="0.25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spans="1:26" ht="12.75" customHeight="1" x14ac:dyDescent="0.25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spans="1:26" ht="12.75" customHeight="1" x14ac:dyDescent="0.25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spans="1:26" ht="12.75" customHeight="1" x14ac:dyDescent="0.25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spans="1:26" ht="12.75" customHeight="1" x14ac:dyDescent="0.25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spans="1:26" ht="12.75" customHeight="1" x14ac:dyDescent="0.25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spans="1:26" ht="12.75" customHeight="1" x14ac:dyDescent="0.25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spans="1:26" ht="12.75" customHeight="1" x14ac:dyDescent="0.25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spans="1:26" ht="12.75" customHeight="1" x14ac:dyDescent="0.25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spans="1:26" ht="12.75" customHeight="1" x14ac:dyDescent="0.25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spans="1:26" ht="12.75" customHeight="1" x14ac:dyDescent="0.25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spans="1:26" ht="12.75" customHeight="1" x14ac:dyDescent="0.25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spans="1:26" ht="12.75" customHeight="1" x14ac:dyDescent="0.25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spans="1:26" ht="12.75" customHeight="1" x14ac:dyDescent="0.25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spans="1:26" ht="12.75" customHeight="1" x14ac:dyDescent="0.25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spans="1:26" ht="12.75" customHeight="1" x14ac:dyDescent="0.25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spans="1:26" ht="12.75" customHeight="1" x14ac:dyDescent="0.25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spans="1:26" ht="12.75" customHeight="1" x14ac:dyDescent="0.25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spans="1:26" ht="12.75" customHeight="1" x14ac:dyDescent="0.25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spans="1:26" ht="12.75" customHeight="1" x14ac:dyDescent="0.25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spans="1:26" ht="12.75" customHeight="1" x14ac:dyDescent="0.25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spans="1:26" ht="12.75" customHeight="1" x14ac:dyDescent="0.25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spans="1:26" ht="12.75" customHeight="1" x14ac:dyDescent="0.25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spans="1:26" ht="12.75" customHeight="1" x14ac:dyDescent="0.25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spans="1:26" ht="12.75" customHeight="1" x14ac:dyDescent="0.25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spans="1:26" ht="12.75" customHeight="1" x14ac:dyDescent="0.25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spans="1:26" ht="12.75" customHeight="1" x14ac:dyDescent="0.25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spans="1:26" ht="12.75" customHeight="1" x14ac:dyDescent="0.25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spans="1:26" ht="12.75" customHeight="1" x14ac:dyDescent="0.25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spans="1:26" ht="12.75" customHeight="1" x14ac:dyDescent="0.25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spans="1:26" ht="12.75" customHeight="1" x14ac:dyDescent="0.25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spans="1:26" ht="12.75" customHeight="1" x14ac:dyDescent="0.25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spans="1:26" ht="12.75" customHeight="1" x14ac:dyDescent="0.25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spans="1:26" ht="12.75" customHeight="1" x14ac:dyDescent="0.25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spans="1:26" ht="12.75" customHeight="1" x14ac:dyDescent="0.25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spans="1:26" ht="12.75" customHeight="1" x14ac:dyDescent="0.25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spans="1:26" ht="12.75" customHeight="1" x14ac:dyDescent="0.25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spans="1:26" ht="12.75" customHeight="1" x14ac:dyDescent="0.25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spans="1:26" ht="12.75" customHeight="1" x14ac:dyDescent="0.25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spans="1:26" ht="12.75" customHeight="1" x14ac:dyDescent="0.25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spans="1:26" ht="12.75" customHeight="1" x14ac:dyDescent="0.25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spans="1:26" ht="12.75" customHeight="1" x14ac:dyDescent="0.25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spans="1:26" ht="12.75" customHeight="1" x14ac:dyDescent="0.25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spans="1:26" ht="12.75" customHeight="1" x14ac:dyDescent="0.25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spans="1:26" ht="12.75" customHeight="1" x14ac:dyDescent="0.25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spans="1:26" ht="12.75" customHeight="1" x14ac:dyDescent="0.25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spans="1:26" ht="12.75" customHeight="1" x14ac:dyDescent="0.25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spans="1:26" ht="12.75" customHeight="1" x14ac:dyDescent="0.25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spans="1:26" ht="12.75" customHeight="1" x14ac:dyDescent="0.25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spans="1:26" ht="12.75" customHeight="1" x14ac:dyDescent="0.25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spans="1:26" ht="12.75" customHeight="1" x14ac:dyDescent="0.25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spans="1:26" ht="12.75" customHeight="1" x14ac:dyDescent="0.25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spans="1:26" ht="12.75" customHeight="1" x14ac:dyDescent="0.25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spans="1:26" ht="12.75" customHeight="1" x14ac:dyDescent="0.25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spans="1:26" ht="12.75" customHeight="1" x14ac:dyDescent="0.25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spans="1:26" ht="12.75" customHeight="1" x14ac:dyDescent="0.25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spans="1:26" ht="12.75" customHeight="1" x14ac:dyDescent="0.25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spans="1:26" ht="12.75" customHeight="1" x14ac:dyDescent="0.25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spans="1:26" ht="12.75" customHeight="1" x14ac:dyDescent="0.25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spans="1:26" ht="12.75" customHeight="1" x14ac:dyDescent="0.25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spans="1:26" ht="12.75" customHeight="1" x14ac:dyDescent="0.25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spans="1:26" ht="12.75" customHeight="1" x14ac:dyDescent="0.25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spans="1:26" ht="12.75" customHeight="1" x14ac:dyDescent="0.25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spans="1:26" ht="12.75" customHeight="1" x14ac:dyDescent="0.25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spans="1:26" ht="12.75" customHeight="1" x14ac:dyDescent="0.25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spans="1:26" ht="12.75" customHeight="1" x14ac:dyDescent="0.25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spans="1:26" ht="12.75" customHeight="1" x14ac:dyDescent="0.25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spans="1:26" ht="12.75" customHeight="1" x14ac:dyDescent="0.25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spans="1:26" ht="12.75" customHeight="1" x14ac:dyDescent="0.25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spans="1:26" ht="12.75" customHeight="1" x14ac:dyDescent="0.25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spans="1:26" ht="12.75" customHeight="1" x14ac:dyDescent="0.25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spans="1:26" ht="12.75" customHeight="1" x14ac:dyDescent="0.25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spans="1:26" ht="12.75" customHeight="1" x14ac:dyDescent="0.25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spans="1:26" ht="12.75" customHeight="1" x14ac:dyDescent="0.25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spans="1:26" ht="12.75" customHeight="1" x14ac:dyDescent="0.25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spans="1:26" ht="12.75" customHeight="1" x14ac:dyDescent="0.25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spans="1:26" ht="12.75" customHeight="1" x14ac:dyDescent="0.25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spans="1:26" ht="12.75" customHeight="1" x14ac:dyDescent="0.25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spans="1:26" ht="12.75" customHeight="1" x14ac:dyDescent="0.25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spans="1:26" ht="12.75" customHeight="1" x14ac:dyDescent="0.25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spans="1:26" ht="12.75" customHeight="1" x14ac:dyDescent="0.25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spans="1:26" ht="12.75" customHeight="1" x14ac:dyDescent="0.25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spans="1:26" ht="12.75" customHeight="1" x14ac:dyDescent="0.25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spans="1:26" ht="12.75" customHeight="1" x14ac:dyDescent="0.25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spans="1:26" ht="12.75" customHeight="1" x14ac:dyDescent="0.25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spans="1:26" ht="12.75" customHeight="1" x14ac:dyDescent="0.25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spans="1:26" ht="12.75" customHeight="1" x14ac:dyDescent="0.25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spans="1:26" ht="12.75" customHeight="1" x14ac:dyDescent="0.25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spans="1:26" ht="12.75" customHeight="1" x14ac:dyDescent="0.25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spans="1:26" ht="12.75" customHeight="1" x14ac:dyDescent="0.25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spans="1:26" ht="12.75" customHeight="1" x14ac:dyDescent="0.25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spans="1:26" ht="12.75" customHeight="1" x14ac:dyDescent="0.25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spans="1:26" ht="12.75" customHeight="1" x14ac:dyDescent="0.25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spans="1:26" ht="12.75" customHeight="1" x14ac:dyDescent="0.25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spans="1:26" ht="12.75" customHeight="1" x14ac:dyDescent="0.25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spans="1:26" ht="12.75" customHeight="1" x14ac:dyDescent="0.25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spans="1:26" ht="12.75" customHeight="1" x14ac:dyDescent="0.25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spans="1:26" ht="12.75" customHeight="1" x14ac:dyDescent="0.25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spans="1:26" ht="12.75" customHeight="1" x14ac:dyDescent="0.25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spans="1:26" ht="12.75" customHeight="1" x14ac:dyDescent="0.25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spans="1:26" ht="12.75" customHeight="1" x14ac:dyDescent="0.25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spans="1:26" ht="12.75" customHeight="1" x14ac:dyDescent="0.25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spans="1:26" ht="12.75" customHeight="1" x14ac:dyDescent="0.25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spans="1:26" ht="12.75" customHeight="1" x14ac:dyDescent="0.25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spans="1:26" ht="12.75" customHeight="1" x14ac:dyDescent="0.25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spans="1:26" ht="12.75" customHeight="1" x14ac:dyDescent="0.25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spans="1:26" ht="12.75" customHeight="1" x14ac:dyDescent="0.25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spans="1:26" ht="12.75" customHeight="1" x14ac:dyDescent="0.25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spans="1:26" ht="12.75" customHeight="1" x14ac:dyDescent="0.25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spans="1:26" ht="12.75" customHeight="1" x14ac:dyDescent="0.25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spans="1:26" ht="12.75" customHeight="1" x14ac:dyDescent="0.25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spans="1:26" ht="12.75" customHeight="1" x14ac:dyDescent="0.25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spans="1:26" ht="12.75" customHeight="1" x14ac:dyDescent="0.25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spans="1:26" ht="12.75" customHeight="1" x14ac:dyDescent="0.25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spans="1:26" ht="12.75" customHeight="1" x14ac:dyDescent="0.25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spans="1:26" ht="12.75" customHeight="1" x14ac:dyDescent="0.25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spans="1:26" ht="12.75" customHeight="1" x14ac:dyDescent="0.25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spans="1:26" ht="12.75" customHeight="1" x14ac:dyDescent="0.25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spans="1:26" ht="12.75" customHeight="1" x14ac:dyDescent="0.25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spans="1:26" ht="12.75" customHeight="1" x14ac:dyDescent="0.25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spans="1:26" ht="12.75" customHeight="1" x14ac:dyDescent="0.25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spans="1:26" ht="12.75" customHeight="1" x14ac:dyDescent="0.25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spans="1:26" ht="12.75" customHeight="1" x14ac:dyDescent="0.25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spans="1:26" ht="12.75" customHeight="1" x14ac:dyDescent="0.25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spans="1:26" ht="12.75" customHeight="1" x14ac:dyDescent="0.25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spans="1:26" ht="12.75" customHeight="1" x14ac:dyDescent="0.25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spans="1:26" ht="12.75" customHeight="1" x14ac:dyDescent="0.25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spans="1:26" ht="12.75" customHeight="1" x14ac:dyDescent="0.25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spans="1:26" ht="12.75" customHeight="1" x14ac:dyDescent="0.25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spans="1:26" ht="12.75" customHeight="1" x14ac:dyDescent="0.25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spans="1:26" ht="12.75" customHeight="1" x14ac:dyDescent="0.25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spans="1:26" ht="12.75" customHeight="1" x14ac:dyDescent="0.25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spans="1:26" ht="12.75" customHeight="1" x14ac:dyDescent="0.25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spans="1:26" ht="12.75" customHeight="1" x14ac:dyDescent="0.25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spans="1:26" ht="12.75" customHeight="1" x14ac:dyDescent="0.25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spans="1:26" ht="12.75" customHeight="1" x14ac:dyDescent="0.25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spans="1:26" ht="12.75" customHeight="1" x14ac:dyDescent="0.25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spans="1:26" ht="12.75" customHeight="1" x14ac:dyDescent="0.25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spans="1:26" ht="12.75" customHeight="1" x14ac:dyDescent="0.25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spans="1:26" ht="12.75" customHeight="1" x14ac:dyDescent="0.25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spans="1:26" ht="12.75" customHeight="1" x14ac:dyDescent="0.25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spans="1:26" ht="12.75" customHeight="1" x14ac:dyDescent="0.25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spans="1:26" ht="12.75" customHeight="1" x14ac:dyDescent="0.25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spans="1:26" ht="12.75" customHeight="1" x14ac:dyDescent="0.25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spans="1:26" ht="12.75" customHeight="1" x14ac:dyDescent="0.25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spans="1:26" ht="12.75" customHeight="1" x14ac:dyDescent="0.25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spans="1:26" ht="12.75" customHeight="1" x14ac:dyDescent="0.25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spans="1:26" ht="12.75" customHeight="1" x14ac:dyDescent="0.25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spans="1:26" ht="12.75" customHeight="1" x14ac:dyDescent="0.25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spans="1:26" ht="12.75" customHeight="1" x14ac:dyDescent="0.25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spans="1:26" ht="12.75" customHeight="1" x14ac:dyDescent="0.25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spans="1:26" ht="12.75" customHeight="1" x14ac:dyDescent="0.25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spans="1:26" ht="12.75" customHeight="1" x14ac:dyDescent="0.25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spans="1:26" ht="12.75" customHeight="1" x14ac:dyDescent="0.25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spans="1:26" ht="12.75" customHeight="1" x14ac:dyDescent="0.25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spans="1:26" ht="12.75" customHeight="1" x14ac:dyDescent="0.25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spans="1:26" ht="12.75" customHeight="1" x14ac:dyDescent="0.25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spans="1:26" ht="12.75" customHeight="1" x14ac:dyDescent="0.25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spans="1:26" ht="12.75" customHeight="1" x14ac:dyDescent="0.25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spans="1:26" ht="12.75" customHeight="1" x14ac:dyDescent="0.25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spans="1:26" ht="12.75" customHeight="1" x14ac:dyDescent="0.25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spans="1:26" ht="12.75" customHeight="1" x14ac:dyDescent="0.25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spans="1:26" ht="12.75" customHeight="1" x14ac:dyDescent="0.25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spans="1:26" ht="12.75" customHeight="1" x14ac:dyDescent="0.25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spans="1:26" ht="12.75" customHeight="1" x14ac:dyDescent="0.25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spans="1:26" ht="12.75" customHeight="1" x14ac:dyDescent="0.25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spans="1:26" ht="12.75" customHeight="1" x14ac:dyDescent="0.25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spans="1:26" ht="12.75" customHeight="1" x14ac:dyDescent="0.25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spans="1:26" ht="12.75" customHeight="1" x14ac:dyDescent="0.25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spans="1:26" ht="12.75" customHeight="1" x14ac:dyDescent="0.25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spans="1:26" ht="12.75" customHeight="1" x14ac:dyDescent="0.25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spans="1:26" ht="12.75" customHeight="1" x14ac:dyDescent="0.25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spans="1:26" ht="12.75" customHeight="1" x14ac:dyDescent="0.25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spans="1:26" ht="12.75" customHeight="1" x14ac:dyDescent="0.25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spans="1:26" ht="12.75" customHeight="1" x14ac:dyDescent="0.25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spans="1:26" ht="12.75" customHeight="1" x14ac:dyDescent="0.25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spans="1:26" ht="12.75" customHeight="1" x14ac:dyDescent="0.25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spans="1:26" ht="12.75" customHeight="1" x14ac:dyDescent="0.25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spans="1:26" ht="12.75" customHeight="1" x14ac:dyDescent="0.25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spans="1:26" ht="12.75" customHeight="1" x14ac:dyDescent="0.25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spans="1:26" ht="12.75" customHeight="1" x14ac:dyDescent="0.25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spans="1:26" ht="12.75" customHeight="1" x14ac:dyDescent="0.25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spans="1:26" ht="12.75" customHeight="1" x14ac:dyDescent="0.25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spans="1:26" ht="12.75" customHeight="1" x14ac:dyDescent="0.25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spans="1:26" ht="12.75" customHeight="1" x14ac:dyDescent="0.25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spans="1:26" ht="12.75" customHeight="1" x14ac:dyDescent="0.25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spans="1:26" ht="12.75" customHeight="1" x14ac:dyDescent="0.25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spans="1:26" ht="12.75" customHeight="1" x14ac:dyDescent="0.25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spans="1:26" ht="12.75" customHeight="1" x14ac:dyDescent="0.25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spans="1:26" ht="12.75" customHeight="1" x14ac:dyDescent="0.25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spans="1:26" ht="12.75" customHeight="1" x14ac:dyDescent="0.25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spans="1:26" ht="12.75" customHeight="1" x14ac:dyDescent="0.25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spans="1:26" ht="12.75" customHeight="1" x14ac:dyDescent="0.25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spans="1:26" ht="12.75" customHeight="1" x14ac:dyDescent="0.25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spans="1:26" ht="12.75" customHeight="1" x14ac:dyDescent="0.25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spans="1:26" ht="12.75" customHeight="1" x14ac:dyDescent="0.25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spans="1:26" ht="12.75" customHeight="1" x14ac:dyDescent="0.25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spans="1:26" ht="12.75" customHeight="1" x14ac:dyDescent="0.25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spans="1:26" ht="12.75" customHeight="1" x14ac:dyDescent="0.25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spans="1:26" ht="12.75" customHeight="1" x14ac:dyDescent="0.25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spans="1:26" ht="12.75" customHeight="1" x14ac:dyDescent="0.25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spans="1:26" ht="12.75" customHeight="1" x14ac:dyDescent="0.25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spans="1:26" ht="12.75" customHeight="1" x14ac:dyDescent="0.25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spans="1:26" ht="12.75" customHeight="1" x14ac:dyDescent="0.25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spans="1:26" ht="12.75" customHeight="1" x14ac:dyDescent="0.25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spans="1:26" ht="12.75" customHeight="1" x14ac:dyDescent="0.25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spans="1:26" ht="12.75" customHeight="1" x14ac:dyDescent="0.25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spans="1:26" ht="12.75" customHeight="1" x14ac:dyDescent="0.25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spans="1:26" ht="12.75" customHeight="1" x14ac:dyDescent="0.25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spans="1:26" ht="12.75" customHeight="1" x14ac:dyDescent="0.25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spans="1:26" ht="12.75" customHeight="1" x14ac:dyDescent="0.25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spans="1:26" ht="12.75" customHeight="1" x14ac:dyDescent="0.25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spans="1:26" ht="12.75" customHeight="1" x14ac:dyDescent="0.25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spans="1:26" ht="12.75" customHeight="1" x14ac:dyDescent="0.25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spans="1:26" ht="12.75" customHeight="1" x14ac:dyDescent="0.25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spans="1:26" ht="12.75" customHeight="1" x14ac:dyDescent="0.25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spans="1:26" ht="12.75" customHeight="1" x14ac:dyDescent="0.25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spans="1:26" ht="12.75" customHeight="1" x14ac:dyDescent="0.25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spans="1:26" ht="12.75" customHeight="1" x14ac:dyDescent="0.25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spans="1:26" ht="12.75" customHeight="1" x14ac:dyDescent="0.25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spans="1:26" ht="12.75" customHeight="1" x14ac:dyDescent="0.25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spans="1:26" ht="12.75" customHeight="1" x14ac:dyDescent="0.25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spans="1:26" ht="12.75" customHeight="1" x14ac:dyDescent="0.25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spans="1:26" ht="12.75" customHeight="1" x14ac:dyDescent="0.25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spans="1:26" ht="12.75" customHeight="1" x14ac:dyDescent="0.25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spans="1:26" ht="12.75" customHeight="1" x14ac:dyDescent="0.25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spans="1:26" ht="12.75" customHeight="1" x14ac:dyDescent="0.25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spans="1:26" ht="12.75" customHeight="1" x14ac:dyDescent="0.25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spans="1:26" ht="12.75" customHeight="1" x14ac:dyDescent="0.25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spans="1:26" ht="12.75" customHeight="1" x14ac:dyDescent="0.25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spans="1:26" ht="12.75" customHeight="1" x14ac:dyDescent="0.25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spans="1:26" ht="12.75" customHeight="1" x14ac:dyDescent="0.25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spans="1:26" ht="12.75" customHeight="1" x14ac:dyDescent="0.25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spans="1:26" ht="12.75" customHeight="1" x14ac:dyDescent="0.25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spans="1:26" ht="12.75" customHeight="1" x14ac:dyDescent="0.25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spans="1:26" ht="12.75" customHeight="1" x14ac:dyDescent="0.25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spans="1:26" ht="12.75" customHeight="1" x14ac:dyDescent="0.25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spans="1:26" ht="12.75" customHeight="1" x14ac:dyDescent="0.25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spans="1:26" ht="12.75" customHeight="1" x14ac:dyDescent="0.25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spans="1:26" ht="12.75" customHeight="1" x14ac:dyDescent="0.25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spans="1:26" ht="12.75" customHeight="1" x14ac:dyDescent="0.25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spans="1:26" ht="12.75" customHeight="1" x14ac:dyDescent="0.25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spans="1:26" ht="12.75" customHeight="1" x14ac:dyDescent="0.25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spans="1:26" ht="12.75" customHeight="1" x14ac:dyDescent="0.25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spans="1:26" ht="12.75" customHeight="1" x14ac:dyDescent="0.25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spans="1:26" ht="12.75" customHeight="1" x14ac:dyDescent="0.25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spans="1:26" ht="12.75" customHeight="1" x14ac:dyDescent="0.25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spans="1:26" ht="12.75" customHeight="1" x14ac:dyDescent="0.25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spans="1:26" ht="12.75" customHeight="1" x14ac:dyDescent="0.25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spans="1:26" ht="12.75" customHeight="1" x14ac:dyDescent="0.25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spans="1:26" ht="12.75" customHeight="1" x14ac:dyDescent="0.25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spans="1:26" ht="12.75" customHeight="1" x14ac:dyDescent="0.25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spans="1:26" ht="12.75" customHeight="1" x14ac:dyDescent="0.25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spans="1:26" ht="12.75" customHeight="1" x14ac:dyDescent="0.25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spans="1:26" ht="12.75" customHeight="1" x14ac:dyDescent="0.25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spans="1:26" ht="12.75" customHeight="1" x14ac:dyDescent="0.25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spans="1:26" ht="12.75" customHeight="1" x14ac:dyDescent="0.25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spans="1:26" ht="12.75" customHeight="1" x14ac:dyDescent="0.25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spans="1:26" ht="12.75" customHeight="1" x14ac:dyDescent="0.25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spans="1:26" ht="12.75" customHeight="1" x14ac:dyDescent="0.25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spans="1:26" ht="12.75" customHeight="1" x14ac:dyDescent="0.25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spans="1:26" ht="12.75" customHeight="1" x14ac:dyDescent="0.25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spans="1:26" ht="12.75" customHeight="1" x14ac:dyDescent="0.25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spans="1:26" ht="12.75" customHeight="1" x14ac:dyDescent="0.25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spans="1:26" ht="12.75" customHeight="1" x14ac:dyDescent="0.25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spans="1:26" ht="12.75" customHeight="1" x14ac:dyDescent="0.25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spans="1:26" ht="12.75" customHeight="1" x14ac:dyDescent="0.25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spans="1:26" ht="12.75" customHeight="1" x14ac:dyDescent="0.25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spans="1:26" ht="12.75" customHeight="1" x14ac:dyDescent="0.25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spans="1:26" ht="12.75" customHeight="1" x14ac:dyDescent="0.25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spans="1:26" ht="12.75" customHeight="1" x14ac:dyDescent="0.25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spans="1:26" ht="12.75" customHeight="1" x14ac:dyDescent="0.25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spans="1:26" ht="12.75" customHeight="1" x14ac:dyDescent="0.25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spans="1:26" ht="12.75" customHeight="1" x14ac:dyDescent="0.25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spans="1:26" ht="12.75" customHeight="1" x14ac:dyDescent="0.25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spans="1:26" ht="12.75" customHeight="1" x14ac:dyDescent="0.25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spans="1:26" ht="12.75" customHeight="1" x14ac:dyDescent="0.25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spans="1:26" ht="12.75" customHeight="1" x14ac:dyDescent="0.25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spans="1:26" ht="12.75" customHeight="1" x14ac:dyDescent="0.25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spans="1:26" ht="12.75" customHeight="1" x14ac:dyDescent="0.25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spans="1:26" ht="12.75" customHeight="1" x14ac:dyDescent="0.25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spans="1:26" ht="12.75" customHeight="1" x14ac:dyDescent="0.25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spans="1:26" ht="12.75" customHeight="1" x14ac:dyDescent="0.25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spans="1:26" ht="12.75" customHeight="1" x14ac:dyDescent="0.25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spans="1:26" ht="12.75" customHeight="1" x14ac:dyDescent="0.25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spans="1:26" ht="12.75" customHeight="1" x14ac:dyDescent="0.25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spans="1:26" ht="12.75" customHeight="1" x14ac:dyDescent="0.25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spans="1:26" ht="12.75" customHeight="1" x14ac:dyDescent="0.25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spans="1:26" ht="12.75" customHeight="1" x14ac:dyDescent="0.25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spans="1:26" ht="12.75" customHeight="1" x14ac:dyDescent="0.25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spans="1:26" ht="12.75" customHeight="1" x14ac:dyDescent="0.25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spans="1:26" ht="12.75" customHeight="1" x14ac:dyDescent="0.25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spans="1:26" ht="12.75" customHeight="1" x14ac:dyDescent="0.25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spans="1:26" ht="12.75" customHeight="1" x14ac:dyDescent="0.25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spans="1:26" ht="12.75" customHeight="1" x14ac:dyDescent="0.25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spans="1:26" ht="12.75" customHeight="1" x14ac:dyDescent="0.25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spans="1:26" ht="12.75" customHeight="1" x14ac:dyDescent="0.25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spans="1:26" ht="12.75" customHeight="1" x14ac:dyDescent="0.25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spans="1:26" ht="12.75" customHeight="1" x14ac:dyDescent="0.25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spans="1:26" ht="12.75" customHeight="1" x14ac:dyDescent="0.25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spans="1:26" ht="12.75" customHeight="1" x14ac:dyDescent="0.25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spans="1:26" ht="12.75" customHeight="1" x14ac:dyDescent="0.25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spans="1:26" ht="12.75" customHeight="1" x14ac:dyDescent="0.25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spans="1:26" ht="12.75" customHeight="1" x14ac:dyDescent="0.25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spans="1:26" ht="12.75" customHeight="1" x14ac:dyDescent="0.25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spans="1:26" ht="12.75" customHeight="1" x14ac:dyDescent="0.25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spans="1:26" ht="12.75" customHeight="1" x14ac:dyDescent="0.25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spans="1:26" ht="12.75" customHeight="1" x14ac:dyDescent="0.25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spans="1:26" ht="12.75" customHeight="1" x14ac:dyDescent="0.25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spans="1:26" ht="12.75" customHeight="1" x14ac:dyDescent="0.25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spans="1:26" ht="12.75" customHeight="1" x14ac:dyDescent="0.25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spans="1:26" ht="12.75" customHeight="1" x14ac:dyDescent="0.25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spans="1:26" ht="12.75" customHeight="1" x14ac:dyDescent="0.25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spans="1:26" ht="12.75" customHeight="1" x14ac:dyDescent="0.25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spans="1:26" ht="12.75" customHeight="1" x14ac:dyDescent="0.25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spans="1:26" ht="12.75" customHeight="1" x14ac:dyDescent="0.25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spans="1:26" ht="12.75" customHeight="1" x14ac:dyDescent="0.25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spans="1:26" ht="12.75" customHeight="1" x14ac:dyDescent="0.25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spans="1:26" ht="12.75" customHeight="1" x14ac:dyDescent="0.25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spans="1:26" ht="12.75" customHeight="1" x14ac:dyDescent="0.25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spans="1:26" ht="12.75" customHeight="1" x14ac:dyDescent="0.25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spans="1:26" ht="12.75" customHeight="1" x14ac:dyDescent="0.25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spans="1:26" ht="12.75" customHeight="1" x14ac:dyDescent="0.25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spans="1:26" ht="12.75" customHeight="1" x14ac:dyDescent="0.25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spans="1:26" ht="12.75" customHeight="1" x14ac:dyDescent="0.25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spans="1:26" ht="12.75" customHeight="1" x14ac:dyDescent="0.25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spans="1:26" ht="12.75" customHeight="1" x14ac:dyDescent="0.25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spans="1:26" ht="12.75" customHeight="1" x14ac:dyDescent="0.25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spans="1:26" ht="12.75" customHeight="1" x14ac:dyDescent="0.25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spans="1:26" ht="12.75" customHeight="1" x14ac:dyDescent="0.25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spans="1:26" ht="12.75" customHeight="1" x14ac:dyDescent="0.25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spans="1:26" ht="12.75" customHeight="1" x14ac:dyDescent="0.25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spans="1:26" ht="12.75" customHeight="1" x14ac:dyDescent="0.25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spans="1:26" ht="12.75" customHeight="1" x14ac:dyDescent="0.25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spans="1:26" ht="12.75" customHeight="1" x14ac:dyDescent="0.25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spans="1:26" ht="12.75" customHeight="1" x14ac:dyDescent="0.25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spans="1:26" ht="12.75" customHeight="1" x14ac:dyDescent="0.25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spans="1:26" ht="12.75" customHeight="1" x14ac:dyDescent="0.25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spans="1:26" ht="12.75" customHeight="1" x14ac:dyDescent="0.25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spans="1:26" ht="12.75" customHeight="1" x14ac:dyDescent="0.25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spans="1:26" ht="12.75" customHeight="1" x14ac:dyDescent="0.25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spans="1:26" ht="12.75" customHeight="1" x14ac:dyDescent="0.25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spans="1:26" ht="12.75" customHeight="1" x14ac:dyDescent="0.25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spans="1:26" ht="12.75" customHeight="1" x14ac:dyDescent="0.25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spans="1:26" ht="12.75" customHeight="1" x14ac:dyDescent="0.25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spans="1:26" ht="12.75" customHeight="1" x14ac:dyDescent="0.25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spans="1:26" ht="12.75" customHeight="1" x14ac:dyDescent="0.25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spans="1:26" ht="12.75" customHeight="1" x14ac:dyDescent="0.25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spans="1:26" ht="12.75" customHeight="1" x14ac:dyDescent="0.25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spans="1:26" ht="12.75" customHeight="1" x14ac:dyDescent="0.25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spans="1:26" ht="12.75" customHeight="1" x14ac:dyDescent="0.25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spans="1:26" ht="12.75" customHeight="1" x14ac:dyDescent="0.25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spans="1:26" ht="12.75" customHeight="1" x14ac:dyDescent="0.25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spans="1:26" ht="12.75" customHeight="1" x14ac:dyDescent="0.25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spans="1:26" ht="12.75" customHeight="1" x14ac:dyDescent="0.25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spans="1:26" ht="12.75" customHeight="1" x14ac:dyDescent="0.25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spans="1:26" ht="12.75" customHeight="1" x14ac:dyDescent="0.25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spans="1:26" ht="12.75" customHeight="1" x14ac:dyDescent="0.25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spans="1:26" ht="12.75" customHeight="1" x14ac:dyDescent="0.25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spans="1:26" ht="12.75" customHeight="1" x14ac:dyDescent="0.25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spans="1:26" ht="12.75" customHeight="1" x14ac:dyDescent="0.25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spans="1:26" ht="12.75" customHeight="1" x14ac:dyDescent="0.25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spans="1:26" ht="12.75" customHeight="1" x14ac:dyDescent="0.25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spans="1:26" ht="12.75" customHeight="1" x14ac:dyDescent="0.25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spans="1:26" ht="12.75" customHeight="1" x14ac:dyDescent="0.25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spans="1:26" ht="12.75" customHeight="1" x14ac:dyDescent="0.25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spans="1:26" ht="12.75" customHeight="1" x14ac:dyDescent="0.25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spans="1:26" ht="12.75" customHeight="1" x14ac:dyDescent="0.25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spans="1:26" ht="12.75" customHeight="1" x14ac:dyDescent="0.25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spans="1:26" ht="12.75" customHeight="1" x14ac:dyDescent="0.25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spans="1:26" ht="12.75" customHeight="1" x14ac:dyDescent="0.25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spans="1:26" ht="12.75" customHeight="1" x14ac:dyDescent="0.25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spans="1:26" ht="12.75" customHeight="1" x14ac:dyDescent="0.25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spans="1:26" ht="12.75" customHeight="1" x14ac:dyDescent="0.25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spans="1:26" ht="12.75" customHeight="1" x14ac:dyDescent="0.25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spans="1:26" ht="12.75" customHeight="1" x14ac:dyDescent="0.25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spans="1:26" ht="12.75" customHeight="1" x14ac:dyDescent="0.25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spans="1:26" ht="12.75" customHeight="1" x14ac:dyDescent="0.25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spans="1:26" ht="12.75" customHeight="1" x14ac:dyDescent="0.25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spans="1:26" ht="12.75" customHeight="1" x14ac:dyDescent="0.25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spans="1:26" ht="12.75" customHeight="1" x14ac:dyDescent="0.25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spans="1:26" ht="12.75" customHeight="1" x14ac:dyDescent="0.25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spans="1:26" ht="12.75" customHeight="1" x14ac:dyDescent="0.25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spans="1:26" ht="12.75" customHeight="1" x14ac:dyDescent="0.25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spans="1:26" ht="12.75" customHeight="1" x14ac:dyDescent="0.25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spans="1:26" ht="12.75" customHeight="1" x14ac:dyDescent="0.25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spans="1:26" ht="12.75" customHeight="1" x14ac:dyDescent="0.25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spans="1:26" ht="12.75" customHeight="1" x14ac:dyDescent="0.25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spans="1:26" ht="12.75" customHeight="1" x14ac:dyDescent="0.25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spans="1:26" ht="12.75" customHeight="1" x14ac:dyDescent="0.25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spans="1:26" ht="12.75" customHeight="1" x14ac:dyDescent="0.25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spans="1:26" ht="12.75" customHeight="1" x14ac:dyDescent="0.25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spans="1:26" ht="12.75" customHeight="1" x14ac:dyDescent="0.25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spans="1:26" ht="12.75" customHeight="1" x14ac:dyDescent="0.25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spans="1:26" ht="12.75" customHeight="1" x14ac:dyDescent="0.25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spans="1:26" ht="12.75" customHeight="1" x14ac:dyDescent="0.25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spans="1:26" ht="12.75" customHeight="1" x14ac:dyDescent="0.25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spans="1:26" ht="12.75" customHeight="1" x14ac:dyDescent="0.25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spans="1:26" ht="12.75" customHeight="1" x14ac:dyDescent="0.25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spans="1:26" ht="12.75" customHeight="1" x14ac:dyDescent="0.25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spans="1:26" ht="12.75" customHeight="1" x14ac:dyDescent="0.25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spans="1:26" ht="12.75" customHeight="1" x14ac:dyDescent="0.25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spans="1:26" ht="12.75" customHeight="1" x14ac:dyDescent="0.25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spans="1:26" ht="12.75" customHeight="1" x14ac:dyDescent="0.25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spans="1:26" ht="12.75" customHeight="1" x14ac:dyDescent="0.25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spans="1:26" ht="12.75" customHeight="1" x14ac:dyDescent="0.25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spans="1:26" ht="12.75" customHeight="1" x14ac:dyDescent="0.25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spans="1:26" ht="12.75" customHeight="1" x14ac:dyDescent="0.25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spans="1:26" ht="12.75" customHeight="1" x14ac:dyDescent="0.25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spans="1:26" ht="12.75" customHeight="1" x14ac:dyDescent="0.25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spans="1:26" ht="12.75" customHeight="1" x14ac:dyDescent="0.25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spans="1:26" ht="12.75" customHeight="1" x14ac:dyDescent="0.25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spans="1:26" ht="12.75" customHeight="1" x14ac:dyDescent="0.25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spans="1:26" ht="12.75" customHeight="1" x14ac:dyDescent="0.25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spans="1:26" ht="12.75" customHeight="1" x14ac:dyDescent="0.25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spans="1:26" ht="12.75" customHeight="1" x14ac:dyDescent="0.25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spans="1:26" ht="12.75" customHeight="1" x14ac:dyDescent="0.25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spans="1:26" ht="12.75" customHeight="1" x14ac:dyDescent="0.25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spans="1:26" ht="12.75" customHeight="1" x14ac:dyDescent="0.25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spans="1:26" ht="12.75" customHeight="1" x14ac:dyDescent="0.25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spans="1:26" ht="12.75" customHeight="1" x14ac:dyDescent="0.25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spans="1:26" ht="12.75" customHeight="1" x14ac:dyDescent="0.25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spans="1:26" ht="12.75" customHeight="1" x14ac:dyDescent="0.25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spans="1:26" ht="12.75" customHeight="1" x14ac:dyDescent="0.25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spans="1:26" ht="12.75" customHeight="1" x14ac:dyDescent="0.25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spans="1:26" ht="12.75" customHeight="1" x14ac:dyDescent="0.25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spans="1:26" ht="12.75" customHeight="1" x14ac:dyDescent="0.25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spans="1:26" ht="12.75" customHeight="1" x14ac:dyDescent="0.25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spans="1:26" ht="12.75" customHeight="1" x14ac:dyDescent="0.25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spans="1:26" ht="12.75" customHeight="1" x14ac:dyDescent="0.25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spans="1:26" ht="12.75" customHeight="1" x14ac:dyDescent="0.25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spans="1:26" ht="12.75" customHeight="1" x14ac:dyDescent="0.25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spans="1:26" ht="12.75" customHeight="1" x14ac:dyDescent="0.25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spans="1:26" ht="12.75" customHeight="1" x14ac:dyDescent="0.25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spans="1:26" ht="12.75" customHeight="1" x14ac:dyDescent="0.25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spans="1:26" ht="12.75" customHeight="1" x14ac:dyDescent="0.25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spans="1:26" ht="12.75" customHeight="1" x14ac:dyDescent="0.25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spans="1:26" ht="12.75" customHeight="1" x14ac:dyDescent="0.25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spans="1:26" ht="12.75" customHeight="1" x14ac:dyDescent="0.25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spans="1:26" ht="12.75" customHeight="1" x14ac:dyDescent="0.25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spans="1:26" ht="12.75" customHeight="1" x14ac:dyDescent="0.25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spans="1:26" ht="12.75" customHeight="1" x14ac:dyDescent="0.25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spans="1:26" ht="12.75" customHeight="1" x14ac:dyDescent="0.25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spans="1:26" ht="12.75" customHeight="1" x14ac:dyDescent="0.25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spans="1:26" ht="12.75" customHeight="1" x14ac:dyDescent="0.25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spans="1:26" ht="12.75" customHeight="1" x14ac:dyDescent="0.25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spans="1:26" ht="12.75" customHeight="1" x14ac:dyDescent="0.25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spans="1:26" ht="12.75" customHeight="1" x14ac:dyDescent="0.25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spans="1:26" ht="12.75" customHeight="1" x14ac:dyDescent="0.25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spans="1:26" ht="12.75" customHeight="1" x14ac:dyDescent="0.25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spans="1:26" ht="12.75" customHeight="1" x14ac:dyDescent="0.25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spans="1:26" ht="12.75" customHeight="1" x14ac:dyDescent="0.25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spans="1:26" ht="12.75" customHeight="1" x14ac:dyDescent="0.25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spans="1:26" ht="12.75" customHeight="1" x14ac:dyDescent="0.25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spans="1:26" ht="12.75" customHeight="1" x14ac:dyDescent="0.25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spans="1:26" ht="12.75" customHeight="1" x14ac:dyDescent="0.25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spans="1:26" ht="12.75" customHeight="1" x14ac:dyDescent="0.25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spans="1:26" ht="12.75" customHeight="1" x14ac:dyDescent="0.25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spans="1:26" ht="12.75" customHeight="1" x14ac:dyDescent="0.25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spans="1:26" ht="12.75" customHeight="1" x14ac:dyDescent="0.25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spans="1:26" ht="12.75" customHeight="1" x14ac:dyDescent="0.25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spans="1:26" ht="12.75" customHeight="1" x14ac:dyDescent="0.25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spans="1:26" ht="12.75" customHeight="1" x14ac:dyDescent="0.25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spans="1:26" ht="12.75" customHeight="1" x14ac:dyDescent="0.25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spans="1:26" ht="12.75" customHeight="1" x14ac:dyDescent="0.25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spans="1:26" ht="12.75" customHeight="1" x14ac:dyDescent="0.25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spans="1:26" ht="12.75" customHeight="1" x14ac:dyDescent="0.25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spans="1:26" ht="12.75" customHeight="1" x14ac:dyDescent="0.25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spans="1:26" ht="12.75" customHeight="1" x14ac:dyDescent="0.25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spans="1:26" ht="12.75" customHeight="1" x14ac:dyDescent="0.25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spans="1:26" ht="12.75" customHeight="1" x14ac:dyDescent="0.25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spans="1:26" ht="12.75" customHeight="1" x14ac:dyDescent="0.25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spans="1:26" ht="12.75" customHeight="1" x14ac:dyDescent="0.25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spans="1:26" ht="12.75" customHeight="1" x14ac:dyDescent="0.25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spans="1:26" ht="12.75" customHeight="1" x14ac:dyDescent="0.25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spans="1:26" ht="12.75" customHeight="1" x14ac:dyDescent="0.25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spans="1:26" ht="12.75" customHeight="1" x14ac:dyDescent="0.25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spans="1:26" ht="12.75" customHeight="1" x14ac:dyDescent="0.25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spans="1:26" ht="12.75" customHeight="1" x14ac:dyDescent="0.25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spans="1:26" ht="12.75" customHeight="1" x14ac:dyDescent="0.25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spans="1:26" ht="12.75" customHeight="1" x14ac:dyDescent="0.25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spans="1:26" ht="12.75" customHeight="1" x14ac:dyDescent="0.25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spans="1:26" ht="12.75" customHeight="1" x14ac:dyDescent="0.25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spans="1:26" ht="12.75" customHeight="1" x14ac:dyDescent="0.25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spans="1:26" ht="12.75" customHeight="1" x14ac:dyDescent="0.25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spans="1:26" ht="12.75" customHeight="1" x14ac:dyDescent="0.25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spans="1:26" ht="12.75" customHeight="1" x14ac:dyDescent="0.25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spans="1:26" ht="12.75" customHeight="1" x14ac:dyDescent="0.25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spans="1:26" ht="12.75" customHeight="1" x14ac:dyDescent="0.25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spans="1:26" ht="12.75" customHeight="1" x14ac:dyDescent="0.25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spans="1:26" ht="12.75" customHeight="1" x14ac:dyDescent="0.25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spans="1:26" ht="12.75" customHeight="1" x14ac:dyDescent="0.25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spans="1:26" ht="12.75" customHeight="1" x14ac:dyDescent="0.25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spans="1:26" ht="12.75" customHeight="1" x14ac:dyDescent="0.25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spans="1:26" ht="12.75" customHeight="1" x14ac:dyDescent="0.25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spans="1:26" ht="12.75" customHeight="1" x14ac:dyDescent="0.25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spans="1:26" ht="12.75" customHeight="1" x14ac:dyDescent="0.25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spans="1:26" ht="12.75" customHeight="1" x14ac:dyDescent="0.25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spans="1:26" ht="12.75" customHeight="1" x14ac:dyDescent="0.25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spans="1:26" ht="12.75" customHeight="1" x14ac:dyDescent="0.25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spans="1:26" ht="12.75" customHeight="1" x14ac:dyDescent="0.25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spans="1:26" ht="12.75" customHeight="1" x14ac:dyDescent="0.25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spans="1:26" ht="12.75" customHeight="1" x14ac:dyDescent="0.25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spans="1:26" ht="12.75" customHeight="1" x14ac:dyDescent="0.25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spans="1:26" ht="12.75" customHeight="1" x14ac:dyDescent="0.25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spans="1:26" ht="12.75" customHeight="1" x14ac:dyDescent="0.25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spans="1:26" ht="12.75" customHeight="1" x14ac:dyDescent="0.25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spans="1:26" ht="12.75" customHeight="1" x14ac:dyDescent="0.25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spans="1:26" ht="12.75" customHeight="1" x14ac:dyDescent="0.25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spans="1:26" ht="12.75" customHeight="1" x14ac:dyDescent="0.25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spans="1:26" ht="12.75" customHeight="1" x14ac:dyDescent="0.25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spans="1:26" ht="12.75" customHeight="1" x14ac:dyDescent="0.25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spans="1:26" ht="12.75" customHeight="1" x14ac:dyDescent="0.25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spans="1:26" ht="12.75" customHeight="1" x14ac:dyDescent="0.25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spans="1:26" ht="12.75" customHeight="1" x14ac:dyDescent="0.25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spans="1:26" ht="12.75" customHeight="1" x14ac:dyDescent="0.25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spans="1:26" ht="12.75" customHeight="1" x14ac:dyDescent="0.25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spans="1:26" ht="12.75" customHeight="1" x14ac:dyDescent="0.25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spans="1:26" ht="12.75" customHeight="1" x14ac:dyDescent="0.25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spans="1:26" ht="12.75" customHeight="1" x14ac:dyDescent="0.25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spans="1:26" ht="12.75" customHeight="1" x14ac:dyDescent="0.25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spans="1:26" ht="12.75" customHeight="1" x14ac:dyDescent="0.25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spans="1:26" ht="12.75" customHeight="1" x14ac:dyDescent="0.25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spans="1:26" ht="12.75" customHeight="1" x14ac:dyDescent="0.25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spans="1:26" ht="12.75" customHeight="1" x14ac:dyDescent="0.25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spans="1:26" ht="12.75" customHeight="1" x14ac:dyDescent="0.25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spans="1:26" ht="12.75" customHeight="1" x14ac:dyDescent="0.25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spans="1:26" ht="12.75" customHeight="1" x14ac:dyDescent="0.25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spans="1:26" ht="12.75" customHeight="1" x14ac:dyDescent="0.25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spans="1:26" ht="12.75" customHeight="1" x14ac:dyDescent="0.25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spans="1:26" ht="12.75" customHeight="1" x14ac:dyDescent="0.25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spans="1:26" ht="12.75" customHeight="1" x14ac:dyDescent="0.25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spans="1:26" ht="12.75" customHeight="1" x14ac:dyDescent="0.25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spans="1:26" ht="12.75" customHeight="1" x14ac:dyDescent="0.25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spans="1:26" ht="12.75" customHeight="1" x14ac:dyDescent="0.25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spans="1:26" ht="12.75" customHeight="1" x14ac:dyDescent="0.25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spans="1:26" ht="12.75" customHeight="1" x14ac:dyDescent="0.25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spans="1:26" ht="12.75" customHeight="1" x14ac:dyDescent="0.25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spans="1:26" ht="12.75" customHeight="1" x14ac:dyDescent="0.25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spans="1:26" ht="12.75" customHeight="1" x14ac:dyDescent="0.25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spans="1:26" ht="12.75" customHeight="1" x14ac:dyDescent="0.25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spans="1:26" ht="12.75" customHeight="1" x14ac:dyDescent="0.25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spans="1:26" ht="12.75" customHeight="1" x14ac:dyDescent="0.25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spans="1:26" ht="12.75" customHeight="1" x14ac:dyDescent="0.25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spans="1:26" ht="12.75" customHeight="1" x14ac:dyDescent="0.25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</sheetData>
  <customSheetViews>
    <customSheetView guid="{106B7A88-9D1E-4D22-9DE1-7E44A908E830}" state="hidden">
      <pageMargins left="0.7" right="0.7" top="0.75" bottom="0.75" header="0.3" footer="0.3"/>
      <pageSetup paperSize="9" orientation="portrait" r:id="rId1"/>
    </customSheetView>
    <customSheetView guid="{CF50DB9B-0F8D-41A5-9576-F9345942CE97}" state="hidden">
      <pageMargins left="0.7" right="0.7" top="0.75" bottom="0.75" header="0.3" footer="0.3"/>
    </customSheetView>
    <customSheetView guid="{B8CD8764-8103-4BA7-A294-F5FED5EA74ED}" state="hidden">
      <pageMargins left="0.7" right="0.7" top="0.75" bottom="0.75" header="0.3" footer="0.3"/>
    </customSheetView>
    <customSheetView guid="{845F3A43-EF96-4057-9777-D2F2301CC149}" showPageBreaks="1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00"/>
  <sheetViews>
    <sheetView workbookViewId="0">
      <pane ySplit="1" topLeftCell="A44" activePane="bottomLeft" state="frozen"/>
      <selection pane="bottomLeft"/>
    </sheetView>
  </sheetViews>
  <sheetFormatPr baseColWidth="10" defaultColWidth="17.26953125" defaultRowHeight="15" customHeight="1" x14ac:dyDescent="0.25"/>
  <cols>
    <col min="1" max="1" width="46.26953125" customWidth="1"/>
    <col min="2" max="2" width="68.26953125" customWidth="1"/>
    <col min="3" max="6" width="10" customWidth="1"/>
    <col min="7" max="7" width="13.7265625" customWidth="1"/>
    <col min="8" max="10" width="10" customWidth="1"/>
    <col min="11" max="11" width="47.26953125" customWidth="1"/>
    <col min="12" max="26" width="10" customWidth="1"/>
  </cols>
  <sheetData>
    <row r="1" spans="1:11" ht="12.75" customHeight="1" x14ac:dyDescent="0.3">
      <c r="A1" s="169" t="s">
        <v>459</v>
      </c>
      <c r="B1" s="169" t="s">
        <v>346</v>
      </c>
      <c r="C1" s="169"/>
      <c r="D1" s="169">
        <v>2014</v>
      </c>
      <c r="E1" s="169"/>
      <c r="F1" s="169">
        <v>2015</v>
      </c>
      <c r="G1" s="169"/>
      <c r="H1" s="169">
        <v>2016</v>
      </c>
      <c r="I1" s="169"/>
      <c r="J1" s="169">
        <v>2017</v>
      </c>
      <c r="K1" s="169" t="s">
        <v>460</v>
      </c>
    </row>
    <row r="2" spans="1:11" ht="15" customHeight="1" x14ac:dyDescent="0.35">
      <c r="A2" s="217" t="s">
        <v>0</v>
      </c>
      <c r="B2" s="220" t="s">
        <v>461</v>
      </c>
      <c r="C2" s="220"/>
      <c r="D2" s="220">
        <f>171505</f>
        <v>171505</v>
      </c>
      <c r="E2" s="220"/>
      <c r="F2" s="246">
        <v>410002</v>
      </c>
      <c r="G2" s="220"/>
      <c r="H2" s="246">
        <v>152905</v>
      </c>
      <c r="I2" s="220">
        <f>(D2+F3+H2)/3</f>
        <v>156824</v>
      </c>
      <c r="J2" s="246">
        <v>160000</v>
      </c>
      <c r="K2" s="220" t="s">
        <v>462</v>
      </c>
    </row>
    <row r="3" spans="1:11" ht="12.75" customHeight="1" x14ac:dyDescent="0.25">
      <c r="A3" s="222"/>
      <c r="B3" s="220"/>
      <c r="C3" s="220"/>
      <c r="D3" s="220"/>
      <c r="E3" s="220"/>
      <c r="F3" s="220">
        <v>146062</v>
      </c>
      <c r="G3" s="220"/>
      <c r="H3" s="220"/>
      <c r="I3" s="220"/>
      <c r="J3" s="220"/>
      <c r="K3" s="220"/>
    </row>
    <row r="4" spans="1:11" ht="26.25" customHeight="1" x14ac:dyDescent="0.35">
      <c r="A4" s="217" t="s">
        <v>216</v>
      </c>
      <c r="B4" s="247" t="s">
        <v>463</v>
      </c>
      <c r="C4" s="220"/>
      <c r="D4" s="246">
        <v>394580</v>
      </c>
      <c r="E4" s="220"/>
      <c r="F4" s="246">
        <v>478454</v>
      </c>
      <c r="G4" s="220"/>
      <c r="H4" s="246">
        <v>492885</v>
      </c>
      <c r="I4" s="248">
        <f>SUM(D4:H4)/3</f>
        <v>455306.33333333331</v>
      </c>
      <c r="J4" s="220"/>
      <c r="K4" s="220"/>
    </row>
    <row r="5" spans="1:11" ht="12.75" customHeight="1" x14ac:dyDescent="0.25">
      <c r="A5" s="222"/>
      <c r="B5" s="222"/>
      <c r="C5" s="216"/>
      <c r="D5" s="216"/>
      <c r="E5" s="216"/>
      <c r="F5" s="216"/>
      <c r="G5" s="222"/>
      <c r="H5" s="216"/>
      <c r="I5" s="249"/>
      <c r="J5" s="216"/>
      <c r="K5" s="222"/>
    </row>
    <row r="6" spans="1:11" ht="39" customHeight="1" x14ac:dyDescent="0.35">
      <c r="A6" s="217" t="s">
        <v>217</v>
      </c>
      <c r="B6" s="222"/>
      <c r="C6" s="216"/>
      <c r="D6" s="244">
        <v>100000</v>
      </c>
      <c r="E6" s="216"/>
      <c r="F6" s="244">
        <v>50000</v>
      </c>
      <c r="G6" s="222"/>
      <c r="H6" s="244">
        <v>120000</v>
      </c>
      <c r="I6" s="249">
        <f>SUM(D6:H6)/3</f>
        <v>90000</v>
      </c>
      <c r="J6" s="216"/>
      <c r="K6" s="245" t="s">
        <v>464</v>
      </c>
    </row>
    <row r="7" spans="1:11" ht="12.75" customHeight="1" x14ac:dyDescent="0.25">
      <c r="A7" s="222"/>
      <c r="B7" s="222"/>
      <c r="C7" s="216"/>
      <c r="D7" s="216"/>
      <c r="E7" s="222" t="s">
        <v>465</v>
      </c>
      <c r="F7" s="222">
        <v>47267</v>
      </c>
      <c r="G7" s="222" t="s">
        <v>466</v>
      </c>
      <c r="H7" s="216"/>
      <c r="I7" s="249"/>
      <c r="J7" s="244">
        <v>130000</v>
      </c>
      <c r="K7" s="222" t="s">
        <v>467</v>
      </c>
    </row>
    <row r="8" spans="1:11" ht="12.75" customHeight="1" x14ac:dyDescent="0.25">
      <c r="A8" s="222"/>
      <c r="B8" s="222"/>
      <c r="C8" s="216"/>
      <c r="D8" s="216"/>
      <c r="E8" s="216"/>
      <c r="F8" s="216"/>
      <c r="G8" s="222" t="s">
        <v>468</v>
      </c>
      <c r="H8" s="222">
        <v>88190</v>
      </c>
      <c r="I8" s="249"/>
      <c r="J8" s="216"/>
      <c r="K8" s="222"/>
    </row>
    <row r="9" spans="1:11" ht="26.25" customHeight="1" x14ac:dyDescent="0.35">
      <c r="A9" s="27" t="s">
        <v>9</v>
      </c>
      <c r="B9" s="27"/>
      <c r="C9" s="220">
        <v>2842</v>
      </c>
      <c r="D9" s="220">
        <f>C9*$B$10</f>
        <v>0</v>
      </c>
      <c r="E9" s="220">
        <v>3052</v>
      </c>
      <c r="F9" s="220">
        <f>E9*$B$10</f>
        <v>0</v>
      </c>
      <c r="G9" s="220">
        <v>2905</v>
      </c>
      <c r="H9" s="220">
        <f>G9*B10</f>
        <v>0</v>
      </c>
      <c r="I9" s="249">
        <f>SUM(D9:H9)/3</f>
        <v>1985.6666666666667</v>
      </c>
      <c r="J9" s="220"/>
      <c r="K9" s="247" t="s">
        <v>469</v>
      </c>
    </row>
    <row r="10" spans="1:11" ht="12.75" customHeight="1" x14ac:dyDescent="0.25">
      <c r="A10" s="223">
        <v>50</v>
      </c>
      <c r="B10" s="223"/>
      <c r="C10" s="216"/>
      <c r="D10" s="216"/>
      <c r="E10" s="216"/>
      <c r="F10" s="216"/>
      <c r="G10" s="222"/>
      <c r="H10" s="216"/>
      <c r="I10" s="216"/>
      <c r="J10" s="216"/>
      <c r="K10" s="222"/>
    </row>
    <row r="11" spans="1:11" ht="15" customHeight="1" x14ac:dyDescent="0.35">
      <c r="A11" s="27" t="s">
        <v>218</v>
      </c>
      <c r="B11" s="27"/>
      <c r="C11" s="220"/>
      <c r="D11" s="220"/>
      <c r="E11" s="220"/>
      <c r="F11" s="220"/>
      <c r="G11" s="220"/>
      <c r="H11" s="170">
        <v>475000</v>
      </c>
      <c r="I11" s="220"/>
      <c r="J11" s="246">
        <v>500000</v>
      </c>
      <c r="K11" s="220" t="s">
        <v>470</v>
      </c>
    </row>
    <row r="12" spans="1:11" ht="39" customHeight="1" x14ac:dyDescent="0.35">
      <c r="A12" s="222"/>
      <c r="B12" s="222"/>
      <c r="C12" s="216"/>
      <c r="D12" s="216"/>
      <c r="E12" s="216"/>
      <c r="F12" s="171">
        <v>616025</v>
      </c>
      <c r="G12" s="222" t="s">
        <v>32</v>
      </c>
      <c r="H12" s="171">
        <v>811835</v>
      </c>
      <c r="I12" s="216"/>
      <c r="J12" s="216"/>
      <c r="K12" s="245" t="s">
        <v>471</v>
      </c>
    </row>
    <row r="13" spans="1:11" ht="15" customHeight="1" x14ac:dyDescent="0.35">
      <c r="A13" s="222"/>
      <c r="B13" s="222"/>
      <c r="C13" s="216"/>
      <c r="D13" s="216"/>
      <c r="E13" s="216"/>
      <c r="F13" s="171">
        <v>482219</v>
      </c>
      <c r="G13" s="222"/>
      <c r="H13" s="171">
        <f>H12-(H12*H15)</f>
        <v>527692.75</v>
      </c>
      <c r="I13" s="216"/>
      <c r="J13" s="216"/>
      <c r="K13" s="222" t="s">
        <v>472</v>
      </c>
    </row>
    <row r="14" spans="1:11" ht="15" customHeight="1" x14ac:dyDescent="0.35">
      <c r="A14" s="222"/>
      <c r="B14" s="222"/>
      <c r="C14" s="216"/>
      <c r="D14" s="216"/>
      <c r="E14" s="216"/>
      <c r="F14" s="171">
        <f>F12-F13</f>
        <v>133806</v>
      </c>
      <c r="G14" s="222"/>
      <c r="H14" s="171"/>
      <c r="I14" s="216"/>
      <c r="J14" s="216"/>
      <c r="K14" s="222"/>
    </row>
    <row r="15" spans="1:11" ht="15" customHeight="1" x14ac:dyDescent="0.35">
      <c r="A15" s="222"/>
      <c r="B15" s="222" t="s">
        <v>473</v>
      </c>
      <c r="C15" s="216"/>
      <c r="D15" s="216"/>
      <c r="E15" s="216"/>
      <c r="F15" s="17">
        <f>F14/F12</f>
        <v>0.21720871717868592</v>
      </c>
      <c r="G15" s="222"/>
      <c r="H15" s="243">
        <v>0.35</v>
      </c>
      <c r="I15" s="216"/>
      <c r="J15" s="216"/>
      <c r="K15" s="222"/>
    </row>
    <row r="16" spans="1:11" ht="12.75" customHeight="1" x14ac:dyDescent="0.25">
      <c r="A16" s="222"/>
      <c r="B16" s="222"/>
      <c r="C16" s="216"/>
      <c r="D16" s="216"/>
      <c r="E16" s="216"/>
      <c r="F16" s="216"/>
      <c r="G16" s="222"/>
      <c r="H16" s="216"/>
      <c r="I16" s="216"/>
      <c r="J16" s="216"/>
      <c r="K16" s="222"/>
    </row>
    <row r="17" spans="1:11" ht="12.75" customHeight="1" x14ac:dyDescent="0.25">
      <c r="A17" s="222"/>
      <c r="B17" s="222"/>
      <c r="C17" s="216"/>
      <c r="D17" s="216"/>
      <c r="E17" s="216"/>
      <c r="F17" s="216"/>
      <c r="G17" s="222"/>
      <c r="H17" s="216"/>
      <c r="I17" s="216"/>
      <c r="J17" s="216"/>
      <c r="K17" s="222"/>
    </row>
    <row r="18" spans="1:11" ht="15" customHeight="1" x14ac:dyDescent="0.35">
      <c r="A18" s="140" t="s">
        <v>219</v>
      </c>
      <c r="B18" s="140" t="s">
        <v>474</v>
      </c>
      <c r="C18" s="220"/>
      <c r="D18" s="220">
        <v>20</v>
      </c>
      <c r="E18" s="220"/>
      <c r="F18" s="220">
        <v>20</v>
      </c>
      <c r="G18" s="220"/>
      <c r="H18" s="220">
        <v>21</v>
      </c>
      <c r="I18" s="220">
        <v>1.05</v>
      </c>
      <c r="J18" s="248">
        <f>H18*I18</f>
        <v>22.05</v>
      </c>
      <c r="K18" s="220"/>
    </row>
    <row r="19" spans="1:11" ht="15" customHeight="1" x14ac:dyDescent="0.35">
      <c r="A19" s="222"/>
      <c r="B19" s="2"/>
      <c r="C19" s="222"/>
      <c r="D19" s="222"/>
      <c r="E19" s="222"/>
      <c r="F19" s="222"/>
      <c r="G19" s="222">
        <v>1616</v>
      </c>
      <c r="H19" s="222">
        <f>H18*G19</f>
        <v>33936</v>
      </c>
      <c r="I19" s="222"/>
      <c r="J19" s="222">
        <f>J18*G19</f>
        <v>35632.800000000003</v>
      </c>
      <c r="K19" s="250" t="s">
        <v>475</v>
      </c>
    </row>
    <row r="20" spans="1:11" ht="15" customHeight="1" x14ac:dyDescent="0.35">
      <c r="A20" s="222" t="s">
        <v>220</v>
      </c>
      <c r="B20" s="2" t="s">
        <v>476</v>
      </c>
      <c r="C20" s="222"/>
      <c r="D20" s="222"/>
      <c r="E20" s="222"/>
      <c r="F20" s="222"/>
      <c r="G20" s="222"/>
      <c r="H20" s="222"/>
      <c r="I20" s="222"/>
      <c r="J20" s="222"/>
      <c r="K20" s="222"/>
    </row>
    <row r="21" spans="1:11" ht="15" customHeight="1" x14ac:dyDescent="0.35">
      <c r="A21" s="222"/>
      <c r="B21" s="2" t="s">
        <v>477</v>
      </c>
      <c r="C21" s="216"/>
      <c r="D21" s="216"/>
      <c r="E21" s="216"/>
      <c r="F21" s="216"/>
      <c r="G21" s="222"/>
      <c r="H21" s="216"/>
      <c r="I21" s="216"/>
      <c r="J21" s="216"/>
      <c r="K21" s="222"/>
    </row>
    <row r="22" spans="1:11" ht="15" customHeight="1" x14ac:dyDescent="0.35">
      <c r="A22" s="222"/>
      <c r="B22" s="2" t="s">
        <v>478</v>
      </c>
      <c r="C22" s="216"/>
      <c r="D22" s="216"/>
      <c r="E22" s="216"/>
      <c r="F22" s="216"/>
      <c r="G22" s="244"/>
      <c r="H22" s="216"/>
      <c r="I22" s="216"/>
      <c r="J22" s="216"/>
      <c r="K22" s="222"/>
    </row>
    <row r="23" spans="1:11" ht="15" customHeight="1" x14ac:dyDescent="0.35">
      <c r="A23" s="222"/>
      <c r="B23" s="2" t="s">
        <v>479</v>
      </c>
      <c r="C23" s="216"/>
      <c r="D23" s="216"/>
      <c r="E23" s="216"/>
      <c r="F23" s="216"/>
      <c r="G23" s="222"/>
      <c r="H23" s="216"/>
      <c r="I23" s="216"/>
      <c r="J23" s="216"/>
      <c r="K23" s="222"/>
    </row>
    <row r="24" spans="1:11" ht="15" customHeight="1" x14ac:dyDescent="0.35">
      <c r="A24" s="222"/>
      <c r="B24" s="2" t="s">
        <v>480</v>
      </c>
      <c r="C24" s="216"/>
      <c r="D24" s="216"/>
      <c r="E24" s="216"/>
      <c r="F24" s="216"/>
      <c r="G24" s="222"/>
      <c r="H24" s="216"/>
      <c r="I24" s="216"/>
      <c r="J24" s="216"/>
      <c r="K24" s="222"/>
    </row>
    <row r="25" spans="1:11" ht="15" customHeight="1" x14ac:dyDescent="0.35">
      <c r="A25" s="222"/>
      <c r="B25" s="2" t="s">
        <v>481</v>
      </c>
      <c r="C25" s="216"/>
      <c r="D25" s="216"/>
      <c r="E25" s="216"/>
      <c r="F25" s="216"/>
      <c r="G25" s="222"/>
      <c r="H25" s="216"/>
      <c r="I25" s="216"/>
      <c r="J25" s="216"/>
      <c r="K25" s="222"/>
    </row>
    <row r="26" spans="1:11" ht="51.75" customHeight="1" x14ac:dyDescent="0.35">
      <c r="A26" s="245" t="s">
        <v>482</v>
      </c>
      <c r="B26" s="172" t="s">
        <v>483</v>
      </c>
      <c r="C26" s="216"/>
      <c r="D26" s="216"/>
      <c r="E26" s="216"/>
      <c r="F26" s="216"/>
      <c r="G26" s="222"/>
      <c r="H26" s="216"/>
      <c r="I26" s="216"/>
      <c r="J26" s="216"/>
      <c r="K26" s="222"/>
    </row>
    <row r="27" spans="1:11" ht="15" customHeight="1" x14ac:dyDescent="0.35">
      <c r="A27" s="2" t="s">
        <v>221</v>
      </c>
      <c r="B27" s="2"/>
      <c r="C27" s="216"/>
      <c r="D27" s="216"/>
      <c r="E27" s="216"/>
      <c r="F27" s="216"/>
      <c r="G27" s="222"/>
      <c r="H27" s="216"/>
      <c r="I27" s="216"/>
      <c r="J27" s="216"/>
      <c r="K27" s="250" t="s">
        <v>475</v>
      </c>
    </row>
    <row r="28" spans="1:11" ht="12.75" customHeight="1" x14ac:dyDescent="0.25">
      <c r="A28" s="222"/>
      <c r="B28" s="222"/>
      <c r="C28" s="216"/>
      <c r="D28" s="216"/>
      <c r="E28" s="216"/>
      <c r="F28" s="216"/>
      <c r="G28" s="222"/>
      <c r="H28" s="216"/>
      <c r="I28" s="216"/>
      <c r="J28" s="216"/>
      <c r="K28" s="222"/>
    </row>
    <row r="29" spans="1:11" ht="12.75" customHeight="1" x14ac:dyDescent="0.25">
      <c r="A29" s="222"/>
      <c r="B29" s="222"/>
      <c r="C29" s="216"/>
      <c r="D29" s="216"/>
      <c r="E29" s="216"/>
      <c r="F29" s="216"/>
      <c r="G29" s="222"/>
      <c r="H29" s="216"/>
      <c r="I29" s="216"/>
      <c r="J29" s="216"/>
      <c r="K29" s="222"/>
    </row>
    <row r="30" spans="1:11" ht="39" customHeight="1" x14ac:dyDescent="0.35">
      <c r="A30" s="27" t="s">
        <v>230</v>
      </c>
      <c r="B30" s="247" t="s">
        <v>484</v>
      </c>
      <c r="C30" s="220"/>
      <c r="D30" s="220"/>
      <c r="E30" s="220"/>
      <c r="F30" s="220"/>
      <c r="G30" s="220"/>
      <c r="H30" s="220"/>
      <c r="I30" s="220"/>
      <c r="J30" s="220"/>
      <c r="K30" s="220"/>
    </row>
    <row r="31" spans="1:11" ht="26.25" customHeight="1" x14ac:dyDescent="0.35">
      <c r="A31" s="27" t="s">
        <v>231</v>
      </c>
      <c r="B31" s="247" t="s">
        <v>485</v>
      </c>
      <c r="C31" s="220"/>
      <c r="D31" s="220"/>
      <c r="E31" s="220"/>
      <c r="F31" s="220"/>
      <c r="G31" s="220"/>
      <c r="H31" s="36">
        <v>19000</v>
      </c>
      <c r="I31" s="220">
        <v>17500</v>
      </c>
      <c r="J31" s="220"/>
      <c r="K31" s="247" t="s">
        <v>486</v>
      </c>
    </row>
    <row r="32" spans="1:11" ht="15" customHeight="1" x14ac:dyDescent="0.35">
      <c r="A32" s="27" t="s">
        <v>232</v>
      </c>
      <c r="B32" s="220"/>
      <c r="C32" s="220"/>
      <c r="D32" s="220"/>
      <c r="E32" s="220"/>
      <c r="F32" s="220"/>
      <c r="G32" s="220"/>
      <c r="H32" s="220">
        <v>5000</v>
      </c>
      <c r="I32" s="220">
        <f>5*2000+1*5000</f>
        <v>15000</v>
      </c>
      <c r="J32" s="220">
        <v>15000</v>
      </c>
      <c r="K32" s="247" t="s">
        <v>487</v>
      </c>
    </row>
    <row r="33" spans="1:11" ht="39" customHeight="1" x14ac:dyDescent="0.35">
      <c r="A33" s="27" t="s">
        <v>233</v>
      </c>
      <c r="B33" s="220"/>
      <c r="C33" s="220"/>
      <c r="D33" s="220"/>
      <c r="E33" s="220"/>
      <c r="F33" s="220"/>
      <c r="G33" s="220"/>
      <c r="H33" s="220"/>
      <c r="I33" s="220">
        <f>250*4+3*1500+1*4000+1*2000</f>
        <v>11500</v>
      </c>
      <c r="J33" s="220">
        <v>11500</v>
      </c>
      <c r="K33" s="247" t="s">
        <v>488</v>
      </c>
    </row>
    <row r="34" spans="1:11" ht="15" customHeight="1" x14ac:dyDescent="0.35">
      <c r="A34" s="27" t="s">
        <v>234</v>
      </c>
      <c r="B34" s="220"/>
      <c r="C34" s="220"/>
      <c r="D34" s="220"/>
      <c r="E34" s="220"/>
      <c r="F34" s="220"/>
      <c r="G34" s="220"/>
      <c r="H34" s="220">
        <v>5000</v>
      </c>
      <c r="I34" s="220">
        <f>4000+0+1500+2000+2000</f>
        <v>9500</v>
      </c>
      <c r="J34" s="220"/>
      <c r="K34" s="220" t="s">
        <v>489</v>
      </c>
    </row>
    <row r="35" spans="1:11" ht="15" customHeight="1" x14ac:dyDescent="0.35">
      <c r="A35" s="27" t="s">
        <v>235</v>
      </c>
      <c r="B35" s="220"/>
      <c r="C35" s="220"/>
      <c r="D35" s="220"/>
      <c r="E35" s="220"/>
      <c r="F35" s="220"/>
      <c r="G35" s="220"/>
      <c r="H35" s="220"/>
      <c r="I35" s="220"/>
      <c r="J35" s="220"/>
      <c r="K35" s="220"/>
    </row>
    <row r="36" spans="1:11" ht="12.75" customHeight="1" x14ac:dyDescent="0.25">
      <c r="A36" s="222"/>
      <c r="B36" s="222"/>
      <c r="C36" s="216"/>
      <c r="D36" s="216"/>
      <c r="E36" s="216"/>
      <c r="F36" s="216"/>
      <c r="G36" s="222"/>
      <c r="H36" s="216"/>
      <c r="I36" s="216"/>
      <c r="J36" s="216"/>
      <c r="K36" s="222"/>
    </row>
    <row r="37" spans="1:11" ht="15" customHeight="1" x14ac:dyDescent="0.35">
      <c r="A37" s="27" t="s">
        <v>227</v>
      </c>
      <c r="B37" s="222"/>
      <c r="C37" s="216"/>
      <c r="D37" s="216"/>
      <c r="E37" s="216"/>
      <c r="F37" s="216"/>
      <c r="G37" s="222"/>
      <c r="H37" s="216"/>
      <c r="I37" s="216"/>
      <c r="J37" s="216"/>
      <c r="K37" s="222"/>
    </row>
    <row r="38" spans="1:11" ht="15" customHeight="1" x14ac:dyDescent="0.35">
      <c r="A38" s="217" t="s">
        <v>230</v>
      </c>
      <c r="B38" s="222"/>
      <c r="C38" s="216"/>
      <c r="D38" s="216"/>
      <c r="E38" s="216"/>
      <c r="F38" s="216"/>
      <c r="G38" s="222"/>
      <c r="H38" s="216"/>
      <c r="I38" s="216"/>
      <c r="J38" s="216"/>
      <c r="K38" s="222"/>
    </row>
    <row r="39" spans="1:11" ht="15" customHeight="1" x14ac:dyDescent="0.35">
      <c r="A39" s="217" t="s">
        <v>231</v>
      </c>
      <c r="B39" s="222"/>
      <c r="C39" s="216"/>
      <c r="D39" s="216"/>
      <c r="E39" s="216"/>
      <c r="F39" s="216"/>
      <c r="G39" s="222"/>
      <c r="H39" s="222">
        <v>4200</v>
      </c>
      <c r="I39" s="216"/>
      <c r="J39" s="222">
        <v>4200</v>
      </c>
      <c r="K39" s="222"/>
    </row>
    <row r="40" spans="1:11" ht="25.5" customHeight="1" x14ac:dyDescent="0.25">
      <c r="A40" s="222"/>
      <c r="B40" s="222"/>
      <c r="C40" s="216"/>
      <c r="D40" s="216"/>
      <c r="E40" s="216"/>
      <c r="F40" s="216"/>
      <c r="G40" s="222"/>
      <c r="H40" s="244">
        <v>100000</v>
      </c>
      <c r="I40" s="216"/>
      <c r="J40" s="216"/>
      <c r="K40" s="245" t="s">
        <v>490</v>
      </c>
    </row>
    <row r="41" spans="1:11" ht="12.75" customHeight="1" x14ac:dyDescent="0.25">
      <c r="A41" s="222"/>
      <c r="B41" s="222">
        <v>9</v>
      </c>
      <c r="C41" s="216"/>
      <c r="D41" s="216"/>
      <c r="E41" s="216"/>
      <c r="F41" s="216"/>
      <c r="G41" s="222"/>
      <c r="H41" s="216"/>
      <c r="I41" s="216"/>
      <c r="J41" s="216"/>
      <c r="K41" s="222" t="s">
        <v>491</v>
      </c>
    </row>
    <row r="42" spans="1:11" ht="15" customHeight="1" x14ac:dyDescent="0.35">
      <c r="A42" s="14" t="s">
        <v>492</v>
      </c>
      <c r="B42" s="222"/>
      <c r="C42" s="216"/>
      <c r="D42" s="216"/>
      <c r="E42" s="216"/>
      <c r="F42" s="216"/>
      <c r="G42" s="222"/>
      <c r="H42" s="216"/>
      <c r="I42" s="216"/>
      <c r="J42" s="216"/>
      <c r="K42" s="222"/>
    </row>
    <row r="43" spans="1:11" ht="12.75" customHeight="1" x14ac:dyDescent="0.25">
      <c r="A43" s="154" t="s">
        <v>392</v>
      </c>
      <c r="B43" s="154" t="s">
        <v>393</v>
      </c>
      <c r="C43" s="216"/>
      <c r="D43" s="216"/>
      <c r="E43" s="216"/>
      <c r="F43" s="216"/>
      <c r="G43" s="222"/>
      <c r="H43" s="216"/>
      <c r="I43" s="216"/>
      <c r="J43" s="216"/>
      <c r="K43" s="222" t="s">
        <v>493</v>
      </c>
    </row>
    <row r="44" spans="1:11" ht="12.75" customHeight="1" x14ac:dyDescent="0.25">
      <c r="A44" s="156" t="s">
        <v>398</v>
      </c>
      <c r="B44" s="156" t="s">
        <v>399</v>
      </c>
      <c r="C44" s="216"/>
      <c r="D44" s="216"/>
      <c r="E44" s="216"/>
      <c r="F44" s="216"/>
      <c r="G44" s="222"/>
      <c r="H44" s="216"/>
      <c r="I44" s="216"/>
      <c r="J44" s="216"/>
      <c r="K44" s="222" t="s">
        <v>494</v>
      </c>
    </row>
    <row r="45" spans="1:11" ht="25.5" customHeight="1" x14ac:dyDescent="0.25">
      <c r="A45" s="156" t="s">
        <v>400</v>
      </c>
      <c r="B45" s="156" t="s">
        <v>401</v>
      </c>
      <c r="C45" s="216"/>
      <c r="D45" s="216"/>
      <c r="E45" s="216"/>
      <c r="F45" s="216"/>
      <c r="G45" s="222"/>
      <c r="H45" s="216"/>
      <c r="I45" s="216"/>
      <c r="J45" s="216"/>
      <c r="K45" s="245" t="s">
        <v>495</v>
      </c>
    </row>
    <row r="46" spans="1:11" ht="12.75" customHeight="1" x14ac:dyDescent="0.25">
      <c r="A46" s="156" t="s">
        <v>402</v>
      </c>
      <c r="B46" s="156" t="s">
        <v>403</v>
      </c>
      <c r="C46" s="216"/>
      <c r="D46" s="216"/>
      <c r="E46" s="216"/>
      <c r="F46" s="216"/>
      <c r="G46" s="222"/>
      <c r="H46" s="216"/>
      <c r="I46" s="216"/>
      <c r="J46" s="216"/>
      <c r="K46" s="222" t="s">
        <v>496</v>
      </c>
    </row>
    <row r="47" spans="1:11" ht="12.75" customHeight="1" x14ac:dyDescent="0.25">
      <c r="A47" s="156" t="s">
        <v>404</v>
      </c>
      <c r="B47" s="156" t="s">
        <v>405</v>
      </c>
      <c r="C47" s="216"/>
      <c r="D47" s="216"/>
      <c r="E47" s="216"/>
      <c r="F47" s="216"/>
      <c r="G47" s="222"/>
      <c r="H47" s="216"/>
      <c r="I47" s="216"/>
      <c r="J47" s="216"/>
      <c r="K47" s="222"/>
    </row>
    <row r="48" spans="1:11" ht="12.75" customHeight="1" x14ac:dyDescent="0.25">
      <c r="A48" s="156" t="s">
        <v>406</v>
      </c>
      <c r="B48" s="156" t="s">
        <v>407</v>
      </c>
      <c r="C48" s="216"/>
      <c r="D48" s="216"/>
      <c r="E48" s="216"/>
      <c r="F48" s="216"/>
      <c r="G48" s="222"/>
      <c r="H48" s="216"/>
      <c r="I48" s="216"/>
      <c r="J48" s="216"/>
      <c r="K48" s="222"/>
    </row>
    <row r="49" spans="1:11" ht="12.75" customHeight="1" x14ac:dyDescent="0.25">
      <c r="A49" s="156" t="s">
        <v>408</v>
      </c>
      <c r="B49" s="156" t="s">
        <v>407</v>
      </c>
      <c r="C49" s="216"/>
      <c r="D49" s="216"/>
      <c r="E49" s="216"/>
      <c r="F49" s="216"/>
      <c r="G49" s="222"/>
      <c r="H49" s="216"/>
      <c r="I49" s="216"/>
      <c r="J49" s="216"/>
      <c r="K49" s="222"/>
    </row>
    <row r="50" spans="1:11" ht="12.75" customHeight="1" x14ac:dyDescent="0.25">
      <c r="A50" s="156" t="s">
        <v>409</v>
      </c>
      <c r="B50" s="156" t="s">
        <v>410</v>
      </c>
      <c r="C50" s="216"/>
      <c r="D50" s="216"/>
      <c r="E50" s="216"/>
      <c r="F50" s="216"/>
      <c r="G50" s="222"/>
      <c r="H50" s="216"/>
      <c r="I50" s="216"/>
      <c r="J50" s="216"/>
      <c r="K50" s="222"/>
    </row>
    <row r="51" spans="1:11" ht="12.75" customHeight="1" x14ac:dyDescent="0.25">
      <c r="A51" s="222"/>
      <c r="B51" s="222"/>
      <c r="C51" s="216"/>
      <c r="D51" s="216"/>
      <c r="E51" s="216"/>
      <c r="F51" s="216"/>
      <c r="G51" s="222"/>
      <c r="H51" s="216"/>
      <c r="I51" s="216"/>
      <c r="J51" s="216"/>
      <c r="K51" s="222"/>
    </row>
    <row r="52" spans="1:11" ht="12.75" customHeight="1" x14ac:dyDescent="0.25">
      <c r="A52" s="222"/>
      <c r="B52" s="222"/>
      <c r="C52" s="216"/>
      <c r="D52" s="216"/>
      <c r="E52" s="216"/>
      <c r="F52" s="216"/>
      <c r="G52" s="222"/>
      <c r="H52" s="216"/>
      <c r="I52" s="216"/>
      <c r="J52" s="216"/>
      <c r="K52" s="222"/>
    </row>
    <row r="53" spans="1:11" ht="12.75" customHeight="1" x14ac:dyDescent="0.25">
      <c r="A53" s="222"/>
      <c r="B53" s="222"/>
      <c r="C53" s="216"/>
      <c r="D53" s="216"/>
      <c r="E53" s="216"/>
      <c r="F53" s="216"/>
      <c r="G53" s="222"/>
      <c r="H53" s="216"/>
      <c r="I53" s="216"/>
      <c r="J53" s="216"/>
      <c r="K53" s="222"/>
    </row>
    <row r="54" spans="1:11" ht="12.75" customHeight="1" x14ac:dyDescent="0.25">
      <c r="A54" s="222"/>
      <c r="B54" s="222"/>
      <c r="C54" s="216"/>
      <c r="D54" s="216"/>
      <c r="E54" s="216"/>
      <c r="F54" s="216"/>
      <c r="G54" s="222"/>
      <c r="H54" s="216"/>
      <c r="I54" s="216"/>
      <c r="J54" s="216"/>
      <c r="K54" s="222"/>
    </row>
    <row r="55" spans="1:11" ht="12.75" customHeight="1" x14ac:dyDescent="0.25">
      <c r="A55" s="222"/>
      <c r="B55" s="222"/>
      <c r="C55" s="216"/>
      <c r="D55" s="216"/>
      <c r="E55" s="216"/>
      <c r="F55" s="216"/>
      <c r="G55" s="222"/>
      <c r="H55" s="216"/>
      <c r="I55" s="216"/>
      <c r="J55" s="216"/>
      <c r="K55" s="222"/>
    </row>
    <row r="56" spans="1:11" ht="12.75" customHeight="1" x14ac:dyDescent="0.25">
      <c r="A56" s="222"/>
      <c r="B56" s="222"/>
      <c r="C56" s="216"/>
      <c r="D56" s="216"/>
      <c r="E56" s="216"/>
      <c r="F56" s="216"/>
      <c r="G56" s="222"/>
      <c r="H56" s="216"/>
      <c r="I56" s="216"/>
      <c r="J56" s="216"/>
      <c r="K56" s="222"/>
    </row>
    <row r="57" spans="1:11" ht="12.75" customHeight="1" x14ac:dyDescent="0.25">
      <c r="A57" s="222"/>
      <c r="B57" s="222"/>
      <c r="C57" s="216"/>
      <c r="D57" s="216"/>
      <c r="E57" s="216"/>
      <c r="F57" s="216"/>
      <c r="G57" s="222"/>
      <c r="H57" s="216"/>
      <c r="I57" s="216"/>
      <c r="J57" s="216"/>
      <c r="K57" s="222"/>
    </row>
    <row r="58" spans="1:11" ht="12.75" customHeight="1" x14ac:dyDescent="0.25">
      <c r="A58" s="222"/>
      <c r="B58" s="222"/>
      <c r="C58" s="216"/>
      <c r="D58" s="216"/>
      <c r="E58" s="216"/>
      <c r="F58" s="216"/>
      <c r="G58" s="222"/>
      <c r="H58" s="216"/>
      <c r="I58" s="216"/>
      <c r="J58" s="216"/>
      <c r="K58" s="222"/>
    </row>
    <row r="59" spans="1:11" ht="12.75" customHeight="1" x14ac:dyDescent="0.25">
      <c r="A59" s="222"/>
      <c r="B59" s="222"/>
      <c r="C59" s="216"/>
      <c r="D59" s="216"/>
      <c r="E59" s="216"/>
      <c r="F59" s="216"/>
      <c r="G59" s="222"/>
      <c r="H59" s="216"/>
      <c r="I59" s="216"/>
      <c r="J59" s="216"/>
      <c r="K59" s="222"/>
    </row>
    <row r="60" spans="1:11" ht="12.75" customHeight="1" x14ac:dyDescent="0.25">
      <c r="A60" s="222"/>
      <c r="B60" s="222"/>
      <c r="C60" s="216"/>
      <c r="D60" s="216"/>
      <c r="E60" s="216"/>
      <c r="F60" s="216"/>
      <c r="G60" s="222"/>
      <c r="H60" s="216"/>
      <c r="I60" s="216"/>
      <c r="J60" s="216"/>
      <c r="K60" s="222"/>
    </row>
    <row r="61" spans="1:11" ht="12.75" customHeight="1" x14ac:dyDescent="0.25">
      <c r="A61" s="222"/>
      <c r="B61" s="222"/>
      <c r="C61" s="216"/>
      <c r="D61" s="216"/>
      <c r="E61" s="216"/>
      <c r="F61" s="216"/>
      <c r="G61" s="222"/>
      <c r="H61" s="216"/>
      <c r="I61" s="216"/>
      <c r="J61" s="216"/>
      <c r="K61" s="222"/>
    </row>
    <row r="62" spans="1:11" ht="12.75" customHeight="1" x14ac:dyDescent="0.25">
      <c r="A62" s="222"/>
      <c r="B62" s="222"/>
      <c r="C62" s="216"/>
      <c r="D62" s="216"/>
      <c r="E62" s="216"/>
      <c r="F62" s="216"/>
      <c r="G62" s="222"/>
      <c r="H62" s="216"/>
      <c r="I62" s="216"/>
      <c r="J62" s="216"/>
      <c r="K62" s="222"/>
    </row>
    <row r="63" spans="1:11" ht="12.75" customHeight="1" x14ac:dyDescent="0.25">
      <c r="A63" s="222"/>
      <c r="B63" s="222"/>
      <c r="C63" s="216"/>
      <c r="D63" s="216"/>
      <c r="E63" s="216"/>
      <c r="F63" s="216"/>
      <c r="G63" s="222"/>
      <c r="H63" s="216"/>
      <c r="I63" s="216"/>
      <c r="J63" s="216"/>
      <c r="K63" s="222"/>
    </row>
    <row r="64" spans="1:11" ht="12.75" customHeight="1" x14ac:dyDescent="0.25">
      <c r="A64" s="222"/>
      <c r="B64" s="222"/>
      <c r="C64" s="216"/>
      <c r="D64" s="216"/>
      <c r="E64" s="216"/>
      <c r="F64" s="216"/>
      <c r="G64" s="222"/>
      <c r="H64" s="216"/>
      <c r="I64" s="216"/>
      <c r="J64" s="216"/>
      <c r="K64" s="222"/>
    </row>
    <row r="65" spans="1:11" ht="12.75" customHeight="1" x14ac:dyDescent="0.25">
      <c r="A65" s="222"/>
      <c r="B65" s="222"/>
      <c r="C65" s="216"/>
      <c r="D65" s="216"/>
      <c r="E65" s="216"/>
      <c r="F65" s="216"/>
      <c r="G65" s="222"/>
      <c r="H65" s="216"/>
      <c r="I65" s="216"/>
      <c r="J65" s="216"/>
      <c r="K65" s="222"/>
    </row>
    <row r="66" spans="1:11" ht="12.75" customHeight="1" x14ac:dyDescent="0.25">
      <c r="A66" s="222"/>
      <c r="B66" s="222"/>
      <c r="C66" s="216"/>
      <c r="D66" s="216"/>
      <c r="E66" s="216"/>
      <c r="F66" s="216"/>
      <c r="G66" s="222"/>
      <c r="H66" s="216"/>
      <c r="I66" s="216"/>
      <c r="J66" s="216"/>
      <c r="K66" s="222"/>
    </row>
    <row r="67" spans="1:11" ht="12.75" customHeight="1" x14ac:dyDescent="0.25">
      <c r="A67" s="222"/>
      <c r="B67" s="222"/>
      <c r="C67" s="216"/>
      <c r="D67" s="216"/>
      <c r="E67" s="216"/>
      <c r="F67" s="216"/>
      <c r="G67" s="222"/>
      <c r="H67" s="216"/>
      <c r="I67" s="216"/>
      <c r="J67" s="216"/>
      <c r="K67" s="222"/>
    </row>
    <row r="68" spans="1:11" ht="12.75" customHeight="1" x14ac:dyDescent="0.25">
      <c r="A68" s="222"/>
      <c r="B68" s="222"/>
      <c r="C68" s="216"/>
      <c r="D68" s="216"/>
      <c r="E68" s="216"/>
      <c r="F68" s="216"/>
      <c r="G68" s="222"/>
      <c r="H68" s="216"/>
      <c r="I68" s="216"/>
      <c r="J68" s="216"/>
      <c r="K68" s="222"/>
    </row>
    <row r="69" spans="1:11" ht="12.75" customHeight="1" x14ac:dyDescent="0.25">
      <c r="A69" s="222"/>
      <c r="B69" s="222"/>
      <c r="C69" s="216"/>
      <c r="D69" s="216"/>
      <c r="E69" s="216"/>
      <c r="F69" s="216"/>
      <c r="G69" s="222"/>
      <c r="H69" s="216"/>
      <c r="I69" s="216"/>
      <c r="J69" s="216"/>
      <c r="K69" s="222"/>
    </row>
    <row r="70" spans="1:11" ht="12.75" customHeight="1" x14ac:dyDescent="0.25">
      <c r="A70" s="222"/>
      <c r="B70" s="222"/>
      <c r="C70" s="216"/>
      <c r="D70" s="216"/>
      <c r="E70" s="216"/>
      <c r="F70" s="216"/>
      <c r="G70" s="222"/>
      <c r="H70" s="216"/>
      <c r="I70" s="216"/>
      <c r="J70" s="216"/>
      <c r="K70" s="222"/>
    </row>
    <row r="71" spans="1:11" ht="12.75" customHeight="1" x14ac:dyDescent="0.25">
      <c r="A71" s="222"/>
      <c r="B71" s="222"/>
      <c r="C71" s="216"/>
      <c r="D71" s="216"/>
      <c r="E71" s="216"/>
      <c r="F71" s="216"/>
      <c r="G71" s="222"/>
      <c r="H71" s="216"/>
      <c r="I71" s="216"/>
      <c r="J71" s="216"/>
      <c r="K71" s="222"/>
    </row>
    <row r="72" spans="1:11" ht="12.75" customHeight="1" x14ac:dyDescent="0.25">
      <c r="A72" s="222"/>
      <c r="B72" s="222"/>
      <c r="C72" s="216"/>
      <c r="D72" s="216"/>
      <c r="E72" s="216"/>
      <c r="F72" s="216"/>
      <c r="G72" s="222"/>
      <c r="H72" s="216"/>
      <c r="I72" s="216"/>
      <c r="J72" s="216"/>
      <c r="K72" s="222"/>
    </row>
    <row r="73" spans="1:11" ht="12.75" customHeight="1" x14ac:dyDescent="0.25">
      <c r="A73" s="222"/>
      <c r="B73" s="222"/>
      <c r="C73" s="216"/>
      <c r="D73" s="216"/>
      <c r="E73" s="216"/>
      <c r="F73" s="216"/>
      <c r="G73" s="222"/>
      <c r="H73" s="216"/>
      <c r="I73" s="216"/>
      <c r="J73" s="216"/>
      <c r="K73" s="222"/>
    </row>
    <row r="74" spans="1:11" ht="12.75" customHeight="1" x14ac:dyDescent="0.25">
      <c r="A74" s="222"/>
      <c r="B74" s="222"/>
      <c r="C74" s="216"/>
      <c r="D74" s="216"/>
      <c r="E74" s="216"/>
      <c r="F74" s="216"/>
      <c r="G74" s="222"/>
      <c r="H74" s="216"/>
      <c r="I74" s="216"/>
      <c r="J74" s="216"/>
      <c r="K74" s="222"/>
    </row>
    <row r="75" spans="1:11" ht="12.75" customHeight="1" x14ac:dyDescent="0.25">
      <c r="A75" s="222"/>
      <c r="B75" s="222"/>
      <c r="C75" s="216"/>
      <c r="D75" s="216"/>
      <c r="E75" s="216"/>
      <c r="F75" s="216"/>
      <c r="G75" s="222"/>
      <c r="H75" s="216"/>
      <c r="I75" s="216"/>
      <c r="J75" s="216"/>
      <c r="K75" s="222"/>
    </row>
    <row r="76" spans="1:11" ht="12.75" customHeight="1" x14ac:dyDescent="0.25">
      <c r="A76" s="222"/>
      <c r="B76" s="222"/>
      <c r="C76" s="216"/>
      <c r="D76" s="216"/>
      <c r="E76" s="216"/>
      <c r="F76" s="216"/>
      <c r="G76" s="222"/>
      <c r="H76" s="216"/>
      <c r="I76" s="216"/>
      <c r="J76" s="216"/>
      <c r="K76" s="222"/>
    </row>
    <row r="77" spans="1:11" ht="12.75" customHeight="1" x14ac:dyDescent="0.25">
      <c r="A77" s="222"/>
      <c r="B77" s="222"/>
      <c r="C77" s="216"/>
      <c r="D77" s="216"/>
      <c r="E77" s="216"/>
      <c r="F77" s="216"/>
      <c r="G77" s="222"/>
      <c r="H77" s="216"/>
      <c r="I77" s="216"/>
      <c r="J77" s="216"/>
      <c r="K77" s="222"/>
    </row>
    <row r="78" spans="1:11" ht="12.75" customHeight="1" x14ac:dyDescent="0.25">
      <c r="A78" s="222"/>
      <c r="B78" s="222"/>
      <c r="C78" s="216"/>
      <c r="D78" s="216"/>
      <c r="E78" s="216"/>
      <c r="F78" s="216"/>
      <c r="G78" s="222"/>
      <c r="H78" s="216"/>
      <c r="I78" s="216"/>
      <c r="J78" s="216"/>
      <c r="K78" s="222"/>
    </row>
    <row r="79" spans="1:11" ht="12.75" customHeight="1" x14ac:dyDescent="0.25">
      <c r="A79" s="222"/>
      <c r="B79" s="222"/>
      <c r="C79" s="216"/>
      <c r="D79" s="216"/>
      <c r="E79" s="216"/>
      <c r="F79" s="216"/>
      <c r="G79" s="222"/>
      <c r="H79" s="216"/>
      <c r="I79" s="216"/>
      <c r="J79" s="216"/>
      <c r="K79" s="222"/>
    </row>
    <row r="80" spans="1:11" ht="12.75" customHeight="1" x14ac:dyDescent="0.25">
      <c r="A80" s="222"/>
      <c r="B80" s="222"/>
      <c r="C80" s="216"/>
      <c r="D80" s="216"/>
      <c r="E80" s="216"/>
      <c r="F80" s="216"/>
      <c r="G80" s="222"/>
      <c r="H80" s="216"/>
      <c r="I80" s="216"/>
      <c r="J80" s="216"/>
      <c r="K80" s="222"/>
    </row>
    <row r="81" spans="1:11" ht="12.75" customHeight="1" x14ac:dyDescent="0.25">
      <c r="A81" s="222"/>
      <c r="B81" s="222"/>
      <c r="C81" s="216"/>
      <c r="D81" s="216"/>
      <c r="E81" s="216"/>
      <c r="F81" s="216"/>
      <c r="G81" s="222"/>
      <c r="H81" s="216"/>
      <c r="I81" s="216"/>
      <c r="J81" s="216"/>
      <c r="K81" s="222"/>
    </row>
    <row r="82" spans="1:11" ht="12.75" customHeight="1" x14ac:dyDescent="0.25">
      <c r="A82" s="222"/>
      <c r="B82" s="222"/>
      <c r="C82" s="216"/>
      <c r="D82" s="216"/>
      <c r="E82" s="216"/>
      <c r="F82" s="216"/>
      <c r="G82" s="222"/>
      <c r="H82" s="216"/>
      <c r="I82" s="216"/>
      <c r="J82" s="216"/>
      <c r="K82" s="222"/>
    </row>
    <row r="83" spans="1:11" ht="12.75" customHeight="1" x14ac:dyDescent="0.25">
      <c r="A83" s="222"/>
      <c r="B83" s="222"/>
      <c r="C83" s="216"/>
      <c r="D83" s="216"/>
      <c r="E83" s="216"/>
      <c r="F83" s="216"/>
      <c r="G83" s="222"/>
      <c r="H83" s="216"/>
      <c r="I83" s="216"/>
      <c r="J83" s="216"/>
      <c r="K83" s="222"/>
    </row>
    <row r="84" spans="1:11" ht="12.75" customHeight="1" x14ac:dyDescent="0.25">
      <c r="A84" s="222"/>
      <c r="B84" s="222"/>
      <c r="C84" s="216"/>
      <c r="D84" s="216"/>
      <c r="E84" s="216"/>
      <c r="F84" s="216"/>
      <c r="G84" s="222"/>
      <c r="H84" s="216"/>
      <c r="I84" s="216"/>
      <c r="J84" s="216"/>
      <c r="K84" s="222"/>
    </row>
    <row r="85" spans="1:11" ht="12.75" customHeight="1" x14ac:dyDescent="0.25">
      <c r="A85" s="222"/>
      <c r="B85" s="222"/>
      <c r="C85" s="216"/>
      <c r="D85" s="216"/>
      <c r="E85" s="216"/>
      <c r="F85" s="216"/>
      <c r="G85" s="222"/>
      <c r="H85" s="216"/>
      <c r="I85" s="216"/>
      <c r="J85" s="216"/>
      <c r="K85" s="222"/>
    </row>
    <row r="86" spans="1:11" ht="12.75" customHeight="1" x14ac:dyDescent="0.25">
      <c r="A86" s="222"/>
      <c r="B86" s="222"/>
      <c r="C86" s="216"/>
      <c r="D86" s="216"/>
      <c r="E86" s="216"/>
      <c r="F86" s="216"/>
      <c r="G86" s="222"/>
      <c r="H86" s="216"/>
      <c r="I86" s="216"/>
      <c r="J86" s="216"/>
      <c r="K86" s="222"/>
    </row>
    <row r="87" spans="1:11" ht="12.75" customHeight="1" x14ac:dyDescent="0.25">
      <c r="A87" s="222"/>
      <c r="B87" s="222"/>
      <c r="C87" s="216"/>
      <c r="D87" s="216"/>
      <c r="E87" s="216"/>
      <c r="F87" s="216"/>
      <c r="G87" s="222"/>
      <c r="H87" s="216"/>
      <c r="I87" s="216"/>
      <c r="J87" s="216"/>
      <c r="K87" s="222"/>
    </row>
    <row r="88" spans="1:11" ht="12.75" customHeight="1" x14ac:dyDescent="0.25">
      <c r="A88" s="222"/>
      <c r="B88" s="222"/>
      <c r="C88" s="216"/>
      <c r="D88" s="216"/>
      <c r="E88" s="216"/>
      <c r="F88" s="216"/>
      <c r="G88" s="222"/>
      <c r="H88" s="216"/>
      <c r="I88" s="216"/>
      <c r="J88" s="216"/>
      <c r="K88" s="222"/>
    </row>
    <row r="89" spans="1:11" ht="12.75" customHeight="1" x14ac:dyDescent="0.25">
      <c r="A89" s="222"/>
      <c r="B89" s="222"/>
      <c r="C89" s="216"/>
      <c r="D89" s="216"/>
      <c r="E89" s="216"/>
      <c r="F89" s="216"/>
      <c r="G89" s="222"/>
      <c r="H89" s="216"/>
      <c r="I89" s="216"/>
      <c r="J89" s="216"/>
      <c r="K89" s="222"/>
    </row>
    <row r="90" spans="1:11" ht="12.75" customHeight="1" x14ac:dyDescent="0.25">
      <c r="A90" s="222"/>
      <c r="B90" s="222"/>
      <c r="C90" s="216"/>
      <c r="D90" s="216"/>
      <c r="E90" s="216"/>
      <c r="F90" s="216"/>
      <c r="G90" s="222"/>
      <c r="H90" s="216"/>
      <c r="I90" s="216"/>
      <c r="J90" s="216"/>
      <c r="K90" s="222"/>
    </row>
    <row r="91" spans="1:11" ht="12.75" customHeight="1" x14ac:dyDescent="0.25">
      <c r="A91" s="222"/>
      <c r="B91" s="222"/>
      <c r="C91" s="216"/>
      <c r="D91" s="216"/>
      <c r="E91" s="216"/>
      <c r="F91" s="216"/>
      <c r="G91" s="222"/>
      <c r="H91" s="216"/>
      <c r="I91" s="216"/>
      <c r="J91" s="216"/>
      <c r="K91" s="222"/>
    </row>
    <row r="92" spans="1:11" ht="12.75" customHeight="1" x14ac:dyDescent="0.25">
      <c r="A92" s="222"/>
      <c r="B92" s="222"/>
      <c r="C92" s="216"/>
      <c r="D92" s="216"/>
      <c r="E92" s="216"/>
      <c r="F92" s="216"/>
      <c r="G92" s="222"/>
      <c r="H92" s="216"/>
      <c r="I92" s="216"/>
      <c r="J92" s="216"/>
      <c r="K92" s="222"/>
    </row>
    <row r="93" spans="1:11" ht="12.75" customHeight="1" x14ac:dyDescent="0.25">
      <c r="A93" s="222"/>
      <c r="B93" s="222"/>
      <c r="C93" s="216"/>
      <c r="D93" s="216"/>
      <c r="E93" s="216"/>
      <c r="F93" s="216"/>
      <c r="G93" s="222"/>
      <c r="H93" s="216"/>
      <c r="I93" s="216"/>
      <c r="J93" s="216"/>
      <c r="K93" s="222"/>
    </row>
    <row r="94" spans="1:11" ht="12.75" customHeight="1" x14ac:dyDescent="0.25">
      <c r="A94" s="222"/>
      <c r="B94" s="222"/>
      <c r="C94" s="216"/>
      <c r="D94" s="216"/>
      <c r="E94" s="216"/>
      <c r="F94" s="216"/>
      <c r="G94" s="222"/>
      <c r="H94" s="216"/>
      <c r="I94" s="216"/>
      <c r="J94" s="216"/>
      <c r="K94" s="222"/>
    </row>
    <row r="95" spans="1:11" ht="12.75" customHeight="1" x14ac:dyDescent="0.25">
      <c r="A95" s="222"/>
      <c r="B95" s="222"/>
      <c r="C95" s="216"/>
      <c r="D95" s="216"/>
      <c r="E95" s="216"/>
      <c r="F95" s="216"/>
      <c r="G95" s="222"/>
      <c r="H95" s="216"/>
      <c r="I95" s="216"/>
      <c r="J95" s="216"/>
      <c r="K95" s="222"/>
    </row>
    <row r="96" spans="1:11" ht="12.75" customHeight="1" x14ac:dyDescent="0.25">
      <c r="A96" s="222"/>
      <c r="B96" s="222"/>
      <c r="C96" s="216"/>
      <c r="D96" s="216"/>
      <c r="E96" s="216"/>
      <c r="F96" s="216"/>
      <c r="G96" s="222"/>
      <c r="H96" s="216"/>
      <c r="I96" s="216"/>
      <c r="J96" s="216"/>
      <c r="K96" s="222"/>
    </row>
    <row r="97" spans="1:11" ht="12.75" customHeight="1" x14ac:dyDescent="0.25">
      <c r="A97" s="222"/>
      <c r="B97" s="222"/>
      <c r="C97" s="216"/>
      <c r="D97" s="216"/>
      <c r="E97" s="216"/>
      <c r="F97" s="216"/>
      <c r="G97" s="222"/>
      <c r="H97" s="216"/>
      <c r="I97" s="216"/>
      <c r="J97" s="216"/>
      <c r="K97" s="222"/>
    </row>
    <row r="98" spans="1:11" ht="12.75" customHeight="1" x14ac:dyDescent="0.25">
      <c r="A98" s="222"/>
      <c r="B98" s="222"/>
      <c r="C98" s="216"/>
      <c r="D98" s="216"/>
      <c r="E98" s="216"/>
      <c r="F98" s="216"/>
      <c r="G98" s="222"/>
      <c r="H98" s="216"/>
      <c r="I98" s="216"/>
      <c r="J98" s="216"/>
      <c r="K98" s="222"/>
    </row>
    <row r="99" spans="1:11" ht="12.75" customHeight="1" x14ac:dyDescent="0.25">
      <c r="A99" s="222"/>
      <c r="B99" s="222"/>
      <c r="C99" s="216"/>
      <c r="D99" s="216"/>
      <c r="E99" s="216"/>
      <c r="F99" s="216"/>
      <c r="G99" s="222"/>
      <c r="H99" s="216"/>
      <c r="I99" s="216"/>
      <c r="J99" s="216"/>
      <c r="K99" s="222"/>
    </row>
    <row r="100" spans="1:11" ht="12.75" customHeight="1" x14ac:dyDescent="0.25">
      <c r="A100" s="222"/>
      <c r="B100" s="222"/>
      <c r="C100" s="216"/>
      <c r="D100" s="216"/>
      <c r="E100" s="216"/>
      <c r="F100" s="216"/>
      <c r="G100" s="222"/>
      <c r="H100" s="216"/>
      <c r="I100" s="216"/>
      <c r="J100" s="216"/>
      <c r="K100" s="222"/>
    </row>
    <row r="101" spans="1:11" ht="12.75" customHeight="1" x14ac:dyDescent="0.25">
      <c r="A101" s="222"/>
      <c r="B101" s="222"/>
      <c r="C101" s="216"/>
      <c r="D101" s="216"/>
      <c r="E101" s="216"/>
      <c r="F101" s="216"/>
      <c r="G101" s="222"/>
      <c r="H101" s="216"/>
      <c r="I101" s="216"/>
      <c r="J101" s="216"/>
      <c r="K101" s="222"/>
    </row>
    <row r="102" spans="1:11" ht="12.75" customHeight="1" x14ac:dyDescent="0.25">
      <c r="A102" s="222"/>
      <c r="B102" s="222"/>
      <c r="C102" s="216"/>
      <c r="D102" s="216"/>
      <c r="E102" s="216"/>
      <c r="F102" s="216"/>
      <c r="G102" s="222"/>
      <c r="H102" s="216"/>
      <c r="I102" s="216"/>
      <c r="J102" s="216"/>
      <c r="K102" s="222"/>
    </row>
    <row r="103" spans="1:11" ht="12.75" customHeight="1" x14ac:dyDescent="0.25">
      <c r="A103" s="222"/>
      <c r="B103" s="222"/>
      <c r="C103" s="216"/>
      <c r="D103" s="216"/>
      <c r="E103" s="216"/>
      <c r="F103" s="216"/>
      <c r="G103" s="222"/>
      <c r="H103" s="216"/>
      <c r="I103" s="216"/>
      <c r="J103" s="216"/>
      <c r="K103" s="222"/>
    </row>
    <row r="104" spans="1:11" ht="12.75" customHeight="1" x14ac:dyDescent="0.25">
      <c r="A104" s="222"/>
      <c r="B104" s="222"/>
      <c r="C104" s="216"/>
      <c r="D104" s="216"/>
      <c r="E104" s="216"/>
      <c r="F104" s="216"/>
      <c r="G104" s="222"/>
      <c r="H104" s="216"/>
      <c r="I104" s="216"/>
      <c r="J104" s="216"/>
      <c r="K104" s="222"/>
    </row>
    <row r="105" spans="1:11" ht="12.75" customHeight="1" x14ac:dyDescent="0.25">
      <c r="A105" s="222"/>
      <c r="B105" s="222"/>
      <c r="C105" s="216"/>
      <c r="D105" s="216"/>
      <c r="E105" s="216"/>
      <c r="F105" s="216"/>
      <c r="G105" s="222"/>
      <c r="H105" s="216"/>
      <c r="I105" s="216"/>
      <c r="J105" s="216"/>
      <c r="K105" s="222"/>
    </row>
    <row r="106" spans="1:11" ht="12.75" customHeight="1" x14ac:dyDescent="0.25">
      <c r="A106" s="222"/>
      <c r="B106" s="222"/>
      <c r="C106" s="216"/>
      <c r="D106" s="216"/>
      <c r="E106" s="216"/>
      <c r="F106" s="216"/>
      <c r="G106" s="222"/>
      <c r="H106" s="216"/>
      <c r="I106" s="216"/>
      <c r="J106" s="216"/>
      <c r="K106" s="222"/>
    </row>
    <row r="107" spans="1:11" ht="12.75" customHeight="1" x14ac:dyDescent="0.25">
      <c r="A107" s="222"/>
      <c r="B107" s="222"/>
      <c r="C107" s="216"/>
      <c r="D107" s="216"/>
      <c r="E107" s="216"/>
      <c r="F107" s="216"/>
      <c r="G107" s="222"/>
      <c r="H107" s="216"/>
      <c r="I107" s="216"/>
      <c r="J107" s="216"/>
      <c r="K107" s="222"/>
    </row>
    <row r="108" spans="1:11" ht="12.75" customHeight="1" x14ac:dyDescent="0.25">
      <c r="A108" s="222"/>
      <c r="B108" s="222"/>
      <c r="C108" s="216"/>
      <c r="D108" s="216"/>
      <c r="E108" s="216"/>
      <c r="F108" s="216"/>
      <c r="G108" s="222"/>
      <c r="H108" s="216"/>
      <c r="I108" s="216"/>
      <c r="J108" s="216"/>
      <c r="K108" s="222"/>
    </row>
    <row r="109" spans="1:11" ht="12.75" customHeight="1" x14ac:dyDescent="0.25">
      <c r="A109" s="222"/>
      <c r="B109" s="222"/>
      <c r="C109" s="216"/>
      <c r="D109" s="216"/>
      <c r="E109" s="216"/>
      <c r="F109" s="216"/>
      <c r="G109" s="222"/>
      <c r="H109" s="216"/>
      <c r="I109" s="216"/>
      <c r="J109" s="216"/>
      <c r="K109" s="222"/>
    </row>
    <row r="110" spans="1:11" ht="12.75" customHeight="1" x14ac:dyDescent="0.25">
      <c r="A110" s="222"/>
      <c r="B110" s="222"/>
      <c r="C110" s="216"/>
      <c r="D110" s="216"/>
      <c r="E110" s="216"/>
      <c r="F110" s="216"/>
      <c r="G110" s="222"/>
      <c r="H110" s="216"/>
      <c r="I110" s="216"/>
      <c r="J110" s="216"/>
      <c r="K110" s="222"/>
    </row>
    <row r="111" spans="1:11" ht="12.75" customHeight="1" x14ac:dyDescent="0.25">
      <c r="A111" s="222"/>
      <c r="B111" s="222"/>
      <c r="C111" s="216"/>
      <c r="D111" s="216"/>
      <c r="E111" s="216"/>
      <c r="F111" s="216"/>
      <c r="G111" s="222"/>
      <c r="H111" s="216"/>
      <c r="I111" s="216"/>
      <c r="J111" s="216"/>
      <c r="K111" s="222"/>
    </row>
    <row r="112" spans="1:11" ht="12.75" customHeight="1" x14ac:dyDescent="0.25">
      <c r="A112" s="222"/>
      <c r="B112" s="222"/>
      <c r="C112" s="216"/>
      <c r="D112" s="216"/>
      <c r="E112" s="216"/>
      <c r="F112" s="216"/>
      <c r="G112" s="222"/>
      <c r="H112" s="216"/>
      <c r="I112" s="216"/>
      <c r="J112" s="216"/>
      <c r="K112" s="222"/>
    </row>
    <row r="113" spans="1:11" ht="12.75" customHeight="1" x14ac:dyDescent="0.25">
      <c r="A113" s="222"/>
      <c r="B113" s="222"/>
      <c r="C113" s="216"/>
      <c r="D113" s="216"/>
      <c r="E113" s="216"/>
      <c r="F113" s="216"/>
      <c r="G113" s="222"/>
      <c r="H113" s="216"/>
      <c r="I113" s="216"/>
      <c r="J113" s="216"/>
      <c r="K113" s="222"/>
    </row>
    <row r="114" spans="1:11" ht="12.75" customHeight="1" x14ac:dyDescent="0.25">
      <c r="A114" s="222"/>
      <c r="B114" s="222"/>
      <c r="C114" s="216"/>
      <c r="D114" s="216"/>
      <c r="E114" s="216"/>
      <c r="F114" s="216"/>
      <c r="G114" s="222"/>
      <c r="H114" s="216"/>
      <c r="I114" s="216"/>
      <c r="J114" s="216"/>
      <c r="K114" s="222"/>
    </row>
    <row r="115" spans="1:11" ht="12.75" customHeight="1" x14ac:dyDescent="0.25">
      <c r="A115" s="222"/>
      <c r="B115" s="222"/>
      <c r="C115" s="216"/>
      <c r="D115" s="216"/>
      <c r="E115" s="216"/>
      <c r="F115" s="216"/>
      <c r="G115" s="222"/>
      <c r="H115" s="216"/>
      <c r="I115" s="216"/>
      <c r="J115" s="216"/>
      <c r="K115" s="222"/>
    </row>
    <row r="116" spans="1:11" ht="12.75" customHeight="1" x14ac:dyDescent="0.25">
      <c r="A116" s="222"/>
      <c r="B116" s="222"/>
      <c r="C116" s="216"/>
      <c r="D116" s="216"/>
      <c r="E116" s="216"/>
      <c r="F116" s="216"/>
      <c r="G116" s="222"/>
      <c r="H116" s="216"/>
      <c r="I116" s="216"/>
      <c r="J116" s="216"/>
      <c r="K116" s="222"/>
    </row>
    <row r="117" spans="1:11" ht="12.75" customHeight="1" x14ac:dyDescent="0.25">
      <c r="A117" s="222"/>
      <c r="B117" s="222"/>
      <c r="C117" s="216"/>
      <c r="D117" s="216"/>
      <c r="E117" s="216"/>
      <c r="F117" s="216"/>
      <c r="G117" s="222"/>
      <c r="H117" s="216"/>
      <c r="I117" s="216"/>
      <c r="J117" s="216"/>
      <c r="K117" s="222"/>
    </row>
    <row r="118" spans="1:11" ht="12.75" customHeight="1" x14ac:dyDescent="0.25">
      <c r="A118" s="222"/>
      <c r="B118" s="222"/>
      <c r="C118" s="216"/>
      <c r="D118" s="216"/>
      <c r="E118" s="216"/>
      <c r="F118" s="216"/>
      <c r="G118" s="222"/>
      <c r="H118" s="216"/>
      <c r="I118" s="216"/>
      <c r="J118" s="216"/>
      <c r="K118" s="222"/>
    </row>
    <row r="119" spans="1:11" ht="12.75" customHeight="1" x14ac:dyDescent="0.25">
      <c r="A119" s="222"/>
      <c r="B119" s="222"/>
      <c r="C119" s="216"/>
      <c r="D119" s="216"/>
      <c r="E119" s="216"/>
      <c r="F119" s="216"/>
      <c r="G119" s="222"/>
      <c r="H119" s="216"/>
      <c r="I119" s="216"/>
      <c r="J119" s="216"/>
      <c r="K119" s="222"/>
    </row>
    <row r="120" spans="1:11" ht="12.75" customHeight="1" x14ac:dyDescent="0.25">
      <c r="A120" s="222"/>
      <c r="B120" s="222"/>
      <c r="C120" s="216"/>
      <c r="D120" s="216"/>
      <c r="E120" s="216"/>
      <c r="F120" s="216"/>
      <c r="G120" s="222"/>
      <c r="H120" s="216"/>
      <c r="I120" s="216"/>
      <c r="J120" s="216"/>
      <c r="K120" s="222"/>
    </row>
    <row r="121" spans="1:11" ht="12.75" customHeight="1" x14ac:dyDescent="0.25">
      <c r="A121" s="222"/>
      <c r="B121" s="222"/>
      <c r="C121" s="216"/>
      <c r="D121" s="216"/>
      <c r="E121" s="216"/>
      <c r="F121" s="216"/>
      <c r="G121" s="222"/>
      <c r="H121" s="216"/>
      <c r="I121" s="216"/>
      <c r="J121" s="216"/>
      <c r="K121" s="222"/>
    </row>
    <row r="122" spans="1:11" ht="12.75" customHeight="1" x14ac:dyDescent="0.25">
      <c r="A122" s="222"/>
      <c r="B122" s="222"/>
      <c r="C122" s="216"/>
      <c r="D122" s="216"/>
      <c r="E122" s="216"/>
      <c r="F122" s="216"/>
      <c r="G122" s="222"/>
      <c r="H122" s="216"/>
      <c r="I122" s="216"/>
      <c r="J122" s="216"/>
      <c r="K122" s="222"/>
    </row>
    <row r="123" spans="1:11" ht="12.75" customHeight="1" x14ac:dyDescent="0.25">
      <c r="A123" s="222"/>
      <c r="B123" s="222"/>
      <c r="C123" s="216"/>
      <c r="D123" s="216"/>
      <c r="E123" s="216"/>
      <c r="F123" s="216"/>
      <c r="G123" s="222"/>
      <c r="H123" s="216"/>
      <c r="I123" s="216"/>
      <c r="J123" s="216"/>
      <c r="K123" s="222"/>
    </row>
    <row r="124" spans="1:11" ht="12.75" customHeight="1" x14ac:dyDescent="0.25">
      <c r="A124" s="222"/>
      <c r="B124" s="222"/>
      <c r="C124" s="216"/>
      <c r="D124" s="216"/>
      <c r="E124" s="216"/>
      <c r="F124" s="216"/>
      <c r="G124" s="222"/>
      <c r="H124" s="216"/>
      <c r="I124" s="216"/>
      <c r="J124" s="216"/>
      <c r="K124" s="222"/>
    </row>
    <row r="125" spans="1:11" ht="12.75" customHeight="1" x14ac:dyDescent="0.25">
      <c r="A125" s="222"/>
      <c r="B125" s="222"/>
      <c r="C125" s="216"/>
      <c r="D125" s="216"/>
      <c r="E125" s="216"/>
      <c r="F125" s="216"/>
      <c r="G125" s="222"/>
      <c r="H125" s="216"/>
      <c r="I125" s="216"/>
      <c r="J125" s="216"/>
      <c r="K125" s="222"/>
    </row>
    <row r="126" spans="1:11" ht="12.75" customHeight="1" x14ac:dyDescent="0.25">
      <c r="A126" s="222"/>
      <c r="B126" s="222"/>
      <c r="C126" s="216"/>
      <c r="D126" s="216"/>
      <c r="E126" s="216"/>
      <c r="F126" s="216"/>
      <c r="G126" s="222"/>
      <c r="H126" s="216"/>
      <c r="I126" s="216"/>
      <c r="J126" s="216"/>
      <c r="K126" s="222"/>
    </row>
    <row r="127" spans="1:11" ht="12.75" customHeight="1" x14ac:dyDescent="0.25">
      <c r="A127" s="222"/>
      <c r="B127" s="222"/>
      <c r="C127" s="216"/>
      <c r="D127" s="216"/>
      <c r="E127" s="216"/>
      <c r="F127" s="216"/>
      <c r="G127" s="222"/>
      <c r="H127" s="216"/>
      <c r="I127" s="216"/>
      <c r="J127" s="216"/>
      <c r="K127" s="222"/>
    </row>
    <row r="128" spans="1:11" ht="12.75" customHeight="1" x14ac:dyDescent="0.25">
      <c r="A128" s="222"/>
      <c r="B128" s="222"/>
      <c r="C128" s="216"/>
      <c r="D128" s="216"/>
      <c r="E128" s="216"/>
      <c r="F128" s="216"/>
      <c r="G128" s="222"/>
      <c r="H128" s="216"/>
      <c r="I128" s="216"/>
      <c r="J128" s="216"/>
      <c r="K128" s="222"/>
    </row>
    <row r="129" spans="1:11" ht="12.75" customHeight="1" x14ac:dyDescent="0.25">
      <c r="A129" s="222"/>
      <c r="B129" s="222"/>
      <c r="C129" s="216"/>
      <c r="D129" s="216"/>
      <c r="E129" s="216"/>
      <c r="F129" s="216"/>
      <c r="G129" s="222"/>
      <c r="H129" s="216"/>
      <c r="I129" s="216"/>
      <c r="J129" s="216"/>
      <c r="K129" s="222"/>
    </row>
    <row r="130" spans="1:11" ht="12.75" customHeight="1" x14ac:dyDescent="0.25">
      <c r="A130" s="222"/>
      <c r="B130" s="222"/>
      <c r="C130" s="216"/>
      <c r="D130" s="216"/>
      <c r="E130" s="216"/>
      <c r="F130" s="216"/>
      <c r="G130" s="222"/>
      <c r="H130" s="216"/>
      <c r="I130" s="216"/>
      <c r="J130" s="216"/>
      <c r="K130" s="222"/>
    </row>
    <row r="131" spans="1:11" ht="12.75" customHeight="1" x14ac:dyDescent="0.25">
      <c r="A131" s="222"/>
      <c r="B131" s="222"/>
      <c r="C131" s="216"/>
      <c r="D131" s="216"/>
      <c r="E131" s="216"/>
      <c r="F131" s="216"/>
      <c r="G131" s="222"/>
      <c r="H131" s="216"/>
      <c r="I131" s="216"/>
      <c r="J131" s="216"/>
      <c r="K131" s="222"/>
    </row>
    <row r="132" spans="1:11" ht="12.75" customHeight="1" x14ac:dyDescent="0.25">
      <c r="A132" s="222"/>
      <c r="B132" s="222"/>
      <c r="C132" s="216"/>
      <c r="D132" s="216"/>
      <c r="E132" s="216"/>
      <c r="F132" s="216"/>
      <c r="G132" s="222"/>
      <c r="H132" s="216"/>
      <c r="I132" s="216"/>
      <c r="J132" s="216"/>
      <c r="K132" s="222"/>
    </row>
    <row r="133" spans="1:11" ht="12.75" customHeight="1" x14ac:dyDescent="0.25">
      <c r="A133" s="222"/>
      <c r="B133" s="222"/>
      <c r="C133" s="216"/>
      <c r="D133" s="216"/>
      <c r="E133" s="216"/>
      <c r="F133" s="216"/>
      <c r="G133" s="222"/>
      <c r="H133" s="216"/>
      <c r="I133" s="216"/>
      <c r="J133" s="216"/>
      <c r="K133" s="222"/>
    </row>
    <row r="134" spans="1:11" ht="12.75" customHeight="1" x14ac:dyDescent="0.25">
      <c r="A134" s="222"/>
      <c r="B134" s="222"/>
      <c r="C134" s="216"/>
      <c r="D134" s="216"/>
      <c r="E134" s="216"/>
      <c r="F134" s="216"/>
      <c r="G134" s="222"/>
      <c r="H134" s="216"/>
      <c r="I134" s="216"/>
      <c r="J134" s="216"/>
      <c r="K134" s="222"/>
    </row>
    <row r="135" spans="1:11" ht="12.75" customHeight="1" x14ac:dyDescent="0.25">
      <c r="A135" s="222"/>
      <c r="B135" s="222"/>
      <c r="C135" s="216"/>
      <c r="D135" s="216"/>
      <c r="E135" s="216"/>
      <c r="F135" s="216"/>
      <c r="G135" s="222"/>
      <c r="H135" s="216"/>
      <c r="I135" s="216"/>
      <c r="J135" s="216"/>
      <c r="K135" s="222"/>
    </row>
    <row r="136" spans="1:11" ht="12.75" customHeight="1" x14ac:dyDescent="0.25">
      <c r="A136" s="222"/>
      <c r="B136" s="222"/>
      <c r="C136" s="216"/>
      <c r="D136" s="216"/>
      <c r="E136" s="216"/>
      <c r="F136" s="216"/>
      <c r="G136" s="222"/>
      <c r="H136" s="216"/>
      <c r="I136" s="216"/>
      <c r="J136" s="216"/>
      <c r="K136" s="222"/>
    </row>
    <row r="137" spans="1:11" ht="12.75" customHeight="1" x14ac:dyDescent="0.25">
      <c r="A137" s="222"/>
      <c r="B137" s="222"/>
      <c r="C137" s="216"/>
      <c r="D137" s="216"/>
      <c r="E137" s="216"/>
      <c r="F137" s="216"/>
      <c r="G137" s="222"/>
      <c r="H137" s="216"/>
      <c r="I137" s="216"/>
      <c r="J137" s="216"/>
      <c r="K137" s="222"/>
    </row>
    <row r="138" spans="1:11" ht="12.75" customHeight="1" x14ac:dyDescent="0.25">
      <c r="A138" s="222"/>
      <c r="B138" s="222"/>
      <c r="C138" s="216"/>
      <c r="D138" s="216"/>
      <c r="E138" s="216"/>
      <c r="F138" s="216"/>
      <c r="G138" s="222"/>
      <c r="H138" s="216"/>
      <c r="I138" s="216"/>
      <c r="J138" s="216"/>
      <c r="K138" s="222"/>
    </row>
    <row r="139" spans="1:11" ht="12.75" customHeight="1" x14ac:dyDescent="0.25">
      <c r="A139" s="222"/>
      <c r="B139" s="222"/>
      <c r="C139" s="216"/>
      <c r="D139" s="216"/>
      <c r="E139" s="216"/>
      <c r="F139" s="216"/>
      <c r="G139" s="222"/>
      <c r="H139" s="216"/>
      <c r="I139" s="216"/>
      <c r="J139" s="216"/>
      <c r="K139" s="222"/>
    </row>
    <row r="140" spans="1:11" ht="12.75" customHeight="1" x14ac:dyDescent="0.25">
      <c r="A140" s="222"/>
      <c r="B140" s="222"/>
      <c r="C140" s="216"/>
      <c r="D140" s="216"/>
      <c r="E140" s="216"/>
      <c r="F140" s="216"/>
      <c r="G140" s="222"/>
      <c r="H140" s="216"/>
      <c r="I140" s="216"/>
      <c r="J140" s="216"/>
      <c r="K140" s="222"/>
    </row>
    <row r="141" spans="1:11" ht="12.75" customHeight="1" x14ac:dyDescent="0.25">
      <c r="A141" s="222"/>
      <c r="B141" s="222"/>
      <c r="C141" s="216"/>
      <c r="D141" s="216"/>
      <c r="E141" s="216"/>
      <c r="F141" s="216"/>
      <c r="G141" s="222"/>
      <c r="H141" s="216"/>
      <c r="I141" s="216"/>
      <c r="J141" s="216"/>
      <c r="K141" s="222"/>
    </row>
    <row r="142" spans="1:11" ht="12.75" customHeight="1" x14ac:dyDescent="0.25">
      <c r="A142" s="222"/>
      <c r="B142" s="222"/>
      <c r="C142" s="216"/>
      <c r="D142" s="216"/>
      <c r="E142" s="216"/>
      <c r="F142" s="216"/>
      <c r="G142" s="222"/>
      <c r="H142" s="216"/>
      <c r="I142" s="216"/>
      <c r="J142" s="216"/>
      <c r="K142" s="222"/>
    </row>
    <row r="143" spans="1:11" ht="12.75" customHeight="1" x14ac:dyDescent="0.25">
      <c r="A143" s="222"/>
      <c r="B143" s="222"/>
      <c r="C143" s="216"/>
      <c r="D143" s="216"/>
      <c r="E143" s="216"/>
      <c r="F143" s="216"/>
      <c r="G143" s="222"/>
      <c r="H143" s="216"/>
      <c r="I143" s="216"/>
      <c r="J143" s="216"/>
      <c r="K143" s="222"/>
    </row>
    <row r="144" spans="1:11" ht="12.75" customHeight="1" x14ac:dyDescent="0.25">
      <c r="A144" s="222"/>
      <c r="B144" s="222"/>
      <c r="C144" s="216"/>
      <c r="D144" s="216"/>
      <c r="E144" s="216"/>
      <c r="F144" s="216"/>
      <c r="G144" s="222"/>
      <c r="H144" s="216"/>
      <c r="I144" s="216"/>
      <c r="J144" s="216"/>
      <c r="K144" s="222"/>
    </row>
    <row r="145" spans="1:11" ht="12.75" customHeight="1" x14ac:dyDescent="0.25">
      <c r="A145" s="222"/>
      <c r="B145" s="222"/>
      <c r="C145" s="216"/>
      <c r="D145" s="216"/>
      <c r="E145" s="216"/>
      <c r="F145" s="216"/>
      <c r="G145" s="222"/>
      <c r="H145" s="216"/>
      <c r="I145" s="216"/>
      <c r="J145" s="216"/>
      <c r="K145" s="222"/>
    </row>
    <row r="146" spans="1:11" ht="12.75" customHeight="1" x14ac:dyDescent="0.25">
      <c r="A146" s="222"/>
      <c r="B146" s="222"/>
      <c r="C146" s="216"/>
      <c r="D146" s="216"/>
      <c r="E146" s="216"/>
      <c r="F146" s="216"/>
      <c r="G146" s="222"/>
      <c r="H146" s="216"/>
      <c r="I146" s="216"/>
      <c r="J146" s="216"/>
      <c r="K146" s="222"/>
    </row>
    <row r="147" spans="1:11" ht="12.75" customHeight="1" x14ac:dyDescent="0.25">
      <c r="A147" s="222"/>
      <c r="B147" s="222"/>
      <c r="C147" s="216"/>
      <c r="D147" s="216"/>
      <c r="E147" s="216"/>
      <c r="F147" s="216"/>
      <c r="G147" s="222"/>
      <c r="H147" s="216"/>
      <c r="I147" s="216"/>
      <c r="J147" s="216"/>
      <c r="K147" s="222"/>
    </row>
    <row r="148" spans="1:11" ht="12.75" customHeight="1" x14ac:dyDescent="0.25">
      <c r="A148" s="222"/>
      <c r="B148" s="222"/>
      <c r="C148" s="216"/>
      <c r="D148" s="216"/>
      <c r="E148" s="216"/>
      <c r="F148" s="216"/>
      <c r="G148" s="222"/>
      <c r="H148" s="216"/>
      <c r="I148" s="216"/>
      <c r="J148" s="216"/>
      <c r="K148" s="222"/>
    </row>
    <row r="149" spans="1:11" ht="12.75" customHeight="1" x14ac:dyDescent="0.25">
      <c r="A149" s="222"/>
      <c r="B149" s="222"/>
      <c r="C149" s="216"/>
      <c r="D149" s="216"/>
      <c r="E149" s="216"/>
      <c r="F149" s="216"/>
      <c r="G149" s="222"/>
      <c r="H149" s="216"/>
      <c r="I149" s="216"/>
      <c r="J149" s="216"/>
      <c r="K149" s="222"/>
    </row>
    <row r="150" spans="1:11" ht="12.75" customHeight="1" x14ac:dyDescent="0.25">
      <c r="A150" s="222"/>
      <c r="B150" s="222"/>
      <c r="C150" s="216"/>
      <c r="D150" s="216"/>
      <c r="E150" s="216"/>
      <c r="F150" s="216"/>
      <c r="G150" s="222"/>
      <c r="H150" s="216"/>
      <c r="I150" s="216"/>
      <c r="J150" s="216"/>
      <c r="K150" s="222"/>
    </row>
    <row r="151" spans="1:11" ht="12.75" customHeight="1" x14ac:dyDescent="0.25">
      <c r="A151" s="222"/>
      <c r="B151" s="222"/>
      <c r="C151" s="216"/>
      <c r="D151" s="216"/>
      <c r="E151" s="216"/>
      <c r="F151" s="216"/>
      <c r="G151" s="222"/>
      <c r="H151" s="216"/>
      <c r="I151" s="216"/>
      <c r="J151" s="216"/>
      <c r="K151" s="222"/>
    </row>
    <row r="152" spans="1:11" ht="12.75" customHeight="1" x14ac:dyDescent="0.25">
      <c r="A152" s="222"/>
      <c r="B152" s="222"/>
      <c r="C152" s="216"/>
      <c r="D152" s="216"/>
      <c r="E152" s="216"/>
      <c r="F152" s="216"/>
      <c r="G152" s="222"/>
      <c r="H152" s="216"/>
      <c r="I152" s="216"/>
      <c r="J152" s="216"/>
      <c r="K152" s="222"/>
    </row>
    <row r="153" spans="1:11" ht="12.75" customHeight="1" x14ac:dyDescent="0.25">
      <c r="A153" s="222"/>
      <c r="B153" s="222"/>
      <c r="C153" s="216"/>
      <c r="D153" s="216"/>
      <c r="E153" s="216"/>
      <c r="F153" s="216"/>
      <c r="G153" s="222"/>
      <c r="H153" s="216"/>
      <c r="I153" s="216"/>
      <c r="J153" s="216"/>
      <c r="K153" s="222"/>
    </row>
    <row r="154" spans="1:11" ht="12.75" customHeight="1" x14ac:dyDescent="0.25">
      <c r="A154" s="222"/>
      <c r="B154" s="222"/>
      <c r="C154" s="216"/>
      <c r="D154" s="216"/>
      <c r="E154" s="216"/>
      <c r="F154" s="216"/>
      <c r="G154" s="222"/>
      <c r="H154" s="216"/>
      <c r="I154" s="216"/>
      <c r="J154" s="216"/>
      <c r="K154" s="222"/>
    </row>
    <row r="155" spans="1:11" ht="12.75" customHeight="1" x14ac:dyDescent="0.25">
      <c r="A155" s="222"/>
      <c r="B155" s="222"/>
      <c r="C155" s="216"/>
      <c r="D155" s="216"/>
      <c r="E155" s="216"/>
      <c r="F155" s="216"/>
      <c r="G155" s="222"/>
      <c r="H155" s="216"/>
      <c r="I155" s="216"/>
      <c r="J155" s="216"/>
      <c r="K155" s="222"/>
    </row>
    <row r="156" spans="1:11" ht="12.75" customHeight="1" x14ac:dyDescent="0.25">
      <c r="A156" s="222"/>
      <c r="B156" s="222"/>
      <c r="C156" s="216"/>
      <c r="D156" s="216"/>
      <c r="E156" s="216"/>
      <c r="F156" s="216"/>
      <c r="G156" s="222"/>
      <c r="H156" s="216"/>
      <c r="I156" s="216"/>
      <c r="J156" s="216"/>
      <c r="K156" s="222"/>
    </row>
    <row r="157" spans="1:11" ht="12.75" customHeight="1" x14ac:dyDescent="0.25">
      <c r="A157" s="222"/>
      <c r="B157" s="222"/>
      <c r="C157" s="216"/>
      <c r="D157" s="216"/>
      <c r="E157" s="216"/>
      <c r="F157" s="216"/>
      <c r="G157" s="222"/>
      <c r="H157" s="216"/>
      <c r="I157" s="216"/>
      <c r="J157" s="216"/>
      <c r="K157" s="222"/>
    </row>
    <row r="158" spans="1:11" ht="12.75" customHeight="1" x14ac:dyDescent="0.25">
      <c r="A158" s="222"/>
      <c r="B158" s="222"/>
      <c r="C158" s="216"/>
      <c r="D158" s="216"/>
      <c r="E158" s="216"/>
      <c r="F158" s="216"/>
      <c r="G158" s="222"/>
      <c r="H158" s="216"/>
      <c r="I158" s="216"/>
      <c r="J158" s="216"/>
      <c r="K158" s="222"/>
    </row>
    <row r="159" spans="1:11" ht="12.75" customHeight="1" x14ac:dyDescent="0.25">
      <c r="A159" s="222"/>
      <c r="B159" s="222"/>
      <c r="C159" s="216"/>
      <c r="D159" s="216"/>
      <c r="E159" s="216"/>
      <c r="F159" s="216"/>
      <c r="G159" s="222"/>
      <c r="H159" s="216"/>
      <c r="I159" s="216"/>
      <c r="J159" s="216"/>
      <c r="K159" s="222"/>
    </row>
    <row r="160" spans="1:11" ht="12.75" customHeight="1" x14ac:dyDescent="0.25">
      <c r="A160" s="222"/>
      <c r="B160" s="222"/>
      <c r="C160" s="216"/>
      <c r="D160" s="216"/>
      <c r="E160" s="216"/>
      <c r="F160" s="216"/>
      <c r="G160" s="222"/>
      <c r="H160" s="216"/>
      <c r="I160" s="216"/>
      <c r="J160" s="216"/>
      <c r="K160" s="222"/>
    </row>
    <row r="161" spans="1:11" ht="12.75" customHeight="1" x14ac:dyDescent="0.25">
      <c r="A161" s="222"/>
      <c r="B161" s="222"/>
      <c r="C161" s="216"/>
      <c r="D161" s="216"/>
      <c r="E161" s="216"/>
      <c r="F161" s="216"/>
      <c r="G161" s="222"/>
      <c r="H161" s="216"/>
      <c r="I161" s="216"/>
      <c r="J161" s="216"/>
      <c r="K161" s="222"/>
    </row>
    <row r="162" spans="1:11" ht="12.75" customHeight="1" x14ac:dyDescent="0.25">
      <c r="A162" s="222"/>
      <c r="B162" s="222"/>
      <c r="C162" s="216"/>
      <c r="D162" s="216"/>
      <c r="E162" s="216"/>
      <c r="F162" s="216"/>
      <c r="G162" s="222"/>
      <c r="H162" s="216"/>
      <c r="I162" s="216"/>
      <c r="J162" s="216"/>
      <c r="K162" s="222"/>
    </row>
    <row r="163" spans="1:11" ht="12.75" customHeight="1" x14ac:dyDescent="0.25">
      <c r="A163" s="222"/>
      <c r="B163" s="222"/>
      <c r="C163" s="216"/>
      <c r="D163" s="216"/>
      <c r="E163" s="216"/>
      <c r="F163" s="216"/>
      <c r="G163" s="222"/>
      <c r="H163" s="216"/>
      <c r="I163" s="216"/>
      <c r="J163" s="216"/>
      <c r="K163" s="222"/>
    </row>
    <row r="164" spans="1:11" ht="12.75" customHeight="1" x14ac:dyDescent="0.25">
      <c r="A164" s="222"/>
      <c r="B164" s="222"/>
      <c r="C164" s="216"/>
      <c r="D164" s="216"/>
      <c r="E164" s="216"/>
      <c r="F164" s="216"/>
      <c r="G164" s="222"/>
      <c r="H164" s="216"/>
      <c r="I164" s="216"/>
      <c r="J164" s="216"/>
      <c r="K164" s="222"/>
    </row>
    <row r="165" spans="1:11" ht="12.75" customHeight="1" x14ac:dyDescent="0.25">
      <c r="A165" s="222"/>
      <c r="B165" s="222"/>
      <c r="C165" s="216"/>
      <c r="D165" s="216"/>
      <c r="E165" s="216"/>
      <c r="F165" s="216"/>
      <c r="G165" s="222"/>
      <c r="H165" s="216"/>
      <c r="I165" s="216"/>
      <c r="J165" s="216"/>
      <c r="K165" s="222"/>
    </row>
    <row r="166" spans="1:11" ht="12.75" customHeight="1" x14ac:dyDescent="0.25">
      <c r="A166" s="222"/>
      <c r="B166" s="222"/>
      <c r="C166" s="216"/>
      <c r="D166" s="216"/>
      <c r="E166" s="216"/>
      <c r="F166" s="216"/>
      <c r="G166" s="222"/>
      <c r="H166" s="216"/>
      <c r="I166" s="216"/>
      <c r="J166" s="216"/>
      <c r="K166" s="222"/>
    </row>
    <row r="167" spans="1:11" ht="12.75" customHeight="1" x14ac:dyDescent="0.25">
      <c r="A167" s="222"/>
      <c r="B167" s="222"/>
      <c r="C167" s="216"/>
      <c r="D167" s="216"/>
      <c r="E167" s="216"/>
      <c r="F167" s="216"/>
      <c r="G167" s="222"/>
      <c r="H167" s="216"/>
      <c r="I167" s="216"/>
      <c r="J167" s="216"/>
      <c r="K167" s="222"/>
    </row>
    <row r="168" spans="1:11" ht="12.75" customHeight="1" x14ac:dyDescent="0.25">
      <c r="A168" s="222"/>
      <c r="B168" s="222"/>
      <c r="C168" s="216"/>
      <c r="D168" s="216"/>
      <c r="E168" s="216"/>
      <c r="F168" s="216"/>
      <c r="G168" s="222"/>
      <c r="H168" s="216"/>
      <c r="I168" s="216"/>
      <c r="J168" s="216"/>
      <c r="K168" s="222"/>
    </row>
    <row r="169" spans="1:11" ht="12.75" customHeight="1" x14ac:dyDescent="0.25">
      <c r="A169" s="222"/>
      <c r="B169" s="222"/>
      <c r="C169" s="216"/>
      <c r="D169" s="216"/>
      <c r="E169" s="216"/>
      <c r="F169" s="216"/>
      <c r="G169" s="222"/>
      <c r="H169" s="216"/>
      <c r="I169" s="216"/>
      <c r="J169" s="216"/>
      <c r="K169" s="222"/>
    </row>
    <row r="170" spans="1:11" ht="12.75" customHeight="1" x14ac:dyDescent="0.25">
      <c r="A170" s="222"/>
      <c r="B170" s="222"/>
      <c r="C170" s="216"/>
      <c r="D170" s="216"/>
      <c r="E170" s="216"/>
      <c r="F170" s="216"/>
      <c r="G170" s="222"/>
      <c r="H170" s="216"/>
      <c r="I170" s="216"/>
      <c r="J170" s="216"/>
      <c r="K170" s="222"/>
    </row>
    <row r="171" spans="1:11" ht="12.75" customHeight="1" x14ac:dyDescent="0.25">
      <c r="A171" s="222"/>
      <c r="B171" s="222"/>
      <c r="C171" s="216"/>
      <c r="D171" s="216"/>
      <c r="E171" s="216"/>
      <c r="F171" s="216"/>
      <c r="G171" s="222"/>
      <c r="H171" s="216"/>
      <c r="I171" s="216"/>
      <c r="J171" s="216"/>
      <c r="K171" s="222"/>
    </row>
    <row r="172" spans="1:11" ht="12.75" customHeight="1" x14ac:dyDescent="0.25">
      <c r="A172" s="222"/>
      <c r="B172" s="222"/>
      <c r="C172" s="216"/>
      <c r="D172" s="216"/>
      <c r="E172" s="216"/>
      <c r="F172" s="216"/>
      <c r="G172" s="222"/>
      <c r="H172" s="216"/>
      <c r="I172" s="216"/>
      <c r="J172" s="216"/>
      <c r="K172" s="222"/>
    </row>
    <row r="173" spans="1:11" ht="12.75" customHeight="1" x14ac:dyDescent="0.25">
      <c r="A173" s="222"/>
      <c r="B173" s="222"/>
      <c r="C173" s="216"/>
      <c r="D173" s="216"/>
      <c r="E173" s="216"/>
      <c r="F173" s="216"/>
      <c r="G173" s="222"/>
      <c r="H173" s="216"/>
      <c r="I173" s="216"/>
      <c r="J173" s="216"/>
      <c r="K173" s="222"/>
    </row>
    <row r="174" spans="1:11" ht="12.75" customHeight="1" x14ac:dyDescent="0.25">
      <c r="A174" s="222"/>
      <c r="B174" s="222"/>
      <c r="C174" s="216"/>
      <c r="D174" s="216"/>
      <c r="E174" s="216"/>
      <c r="F174" s="216"/>
      <c r="G174" s="222"/>
      <c r="H174" s="216"/>
      <c r="I174" s="216"/>
      <c r="J174" s="216"/>
      <c r="K174" s="222"/>
    </row>
    <row r="175" spans="1:11" ht="12.75" customHeight="1" x14ac:dyDescent="0.25">
      <c r="A175" s="222"/>
      <c r="B175" s="222"/>
      <c r="C175" s="216"/>
      <c r="D175" s="216"/>
      <c r="E175" s="216"/>
      <c r="F175" s="216"/>
      <c r="G175" s="222"/>
      <c r="H175" s="216"/>
      <c r="I175" s="216"/>
      <c r="J175" s="216"/>
      <c r="K175" s="222"/>
    </row>
    <row r="176" spans="1:11" ht="12.75" customHeight="1" x14ac:dyDescent="0.25">
      <c r="A176" s="222"/>
      <c r="B176" s="222"/>
      <c r="C176" s="216"/>
      <c r="D176" s="216"/>
      <c r="E176" s="216"/>
      <c r="F176" s="216"/>
      <c r="G176" s="222"/>
      <c r="H176" s="216"/>
      <c r="I176" s="216"/>
      <c r="J176" s="216"/>
      <c r="K176" s="222"/>
    </row>
    <row r="177" spans="1:11" ht="12.75" customHeight="1" x14ac:dyDescent="0.25">
      <c r="A177" s="222"/>
      <c r="B177" s="222"/>
      <c r="C177" s="216"/>
      <c r="D177" s="216"/>
      <c r="E177" s="216"/>
      <c r="F177" s="216"/>
      <c r="G177" s="222"/>
      <c r="H177" s="216"/>
      <c r="I177" s="216"/>
      <c r="J177" s="216"/>
      <c r="K177" s="222"/>
    </row>
    <row r="178" spans="1:11" ht="12.75" customHeight="1" x14ac:dyDescent="0.25">
      <c r="A178" s="222"/>
      <c r="B178" s="222"/>
      <c r="C178" s="216"/>
      <c r="D178" s="216"/>
      <c r="E178" s="216"/>
      <c r="F178" s="216"/>
      <c r="G178" s="222"/>
      <c r="H178" s="216"/>
      <c r="I178" s="216"/>
      <c r="J178" s="216"/>
      <c r="K178" s="222"/>
    </row>
    <row r="179" spans="1:11" ht="12.75" customHeight="1" x14ac:dyDescent="0.25">
      <c r="A179" s="222"/>
      <c r="B179" s="222"/>
      <c r="C179" s="216"/>
      <c r="D179" s="216"/>
      <c r="E179" s="216"/>
      <c r="F179" s="216"/>
      <c r="G179" s="222"/>
      <c r="H179" s="216"/>
      <c r="I179" s="216"/>
      <c r="J179" s="216"/>
      <c r="K179" s="222"/>
    </row>
    <row r="180" spans="1:11" ht="12.75" customHeight="1" x14ac:dyDescent="0.25">
      <c r="A180" s="222"/>
      <c r="B180" s="222"/>
      <c r="C180" s="216"/>
      <c r="D180" s="216"/>
      <c r="E180" s="216"/>
      <c r="F180" s="216"/>
      <c r="G180" s="222"/>
      <c r="H180" s="216"/>
      <c r="I180" s="216"/>
      <c r="J180" s="216"/>
      <c r="K180" s="222"/>
    </row>
    <row r="181" spans="1:11" ht="12.75" customHeight="1" x14ac:dyDescent="0.25">
      <c r="A181" s="222"/>
      <c r="B181" s="222"/>
      <c r="C181" s="216"/>
      <c r="D181" s="216"/>
      <c r="E181" s="216"/>
      <c r="F181" s="216"/>
      <c r="G181" s="222"/>
      <c r="H181" s="216"/>
      <c r="I181" s="216"/>
      <c r="J181" s="216"/>
      <c r="K181" s="222"/>
    </row>
    <row r="182" spans="1:11" ht="12.75" customHeight="1" x14ac:dyDescent="0.25">
      <c r="A182" s="222"/>
      <c r="B182" s="222"/>
      <c r="C182" s="216"/>
      <c r="D182" s="216"/>
      <c r="E182" s="216"/>
      <c r="F182" s="216"/>
      <c r="G182" s="222"/>
      <c r="H182" s="216"/>
      <c r="I182" s="216"/>
      <c r="J182" s="216"/>
      <c r="K182" s="222"/>
    </row>
    <row r="183" spans="1:11" ht="12.75" customHeight="1" x14ac:dyDescent="0.25">
      <c r="A183" s="222"/>
      <c r="B183" s="222"/>
      <c r="C183" s="216"/>
      <c r="D183" s="216"/>
      <c r="E183" s="216"/>
      <c r="F183" s="216"/>
      <c r="G183" s="222"/>
      <c r="H183" s="216"/>
      <c r="I183" s="216"/>
      <c r="J183" s="216"/>
      <c r="K183" s="222"/>
    </row>
    <row r="184" spans="1:11" ht="12.75" customHeight="1" x14ac:dyDescent="0.25">
      <c r="A184" s="222"/>
      <c r="B184" s="222"/>
      <c r="C184" s="216"/>
      <c r="D184" s="216"/>
      <c r="E184" s="216"/>
      <c r="F184" s="216"/>
      <c r="G184" s="222"/>
      <c r="H184" s="216"/>
      <c r="I184" s="216"/>
      <c r="J184" s="216"/>
      <c r="K184" s="222"/>
    </row>
    <row r="185" spans="1:11" ht="12.75" customHeight="1" x14ac:dyDescent="0.25">
      <c r="A185" s="222"/>
      <c r="B185" s="222"/>
      <c r="C185" s="216"/>
      <c r="D185" s="216"/>
      <c r="E185" s="216"/>
      <c r="F185" s="216"/>
      <c r="G185" s="222"/>
      <c r="H185" s="216"/>
      <c r="I185" s="216"/>
      <c r="J185" s="216"/>
      <c r="K185" s="222"/>
    </row>
    <row r="186" spans="1:11" ht="12.75" customHeight="1" x14ac:dyDescent="0.25">
      <c r="A186" s="222"/>
      <c r="B186" s="222"/>
      <c r="C186" s="216"/>
      <c r="D186" s="216"/>
      <c r="E186" s="216"/>
      <c r="F186" s="216"/>
      <c r="G186" s="222"/>
      <c r="H186" s="216"/>
      <c r="I186" s="216"/>
      <c r="J186" s="216"/>
      <c r="K186" s="222"/>
    </row>
    <row r="187" spans="1:11" ht="12.75" customHeight="1" x14ac:dyDescent="0.25">
      <c r="A187" s="222"/>
      <c r="B187" s="222"/>
      <c r="C187" s="216"/>
      <c r="D187" s="216"/>
      <c r="E187" s="216"/>
      <c r="F187" s="216"/>
      <c r="G187" s="222"/>
      <c r="H187" s="216"/>
      <c r="I187" s="216"/>
      <c r="J187" s="216"/>
      <c r="K187" s="222"/>
    </row>
    <row r="188" spans="1:11" ht="12.75" customHeight="1" x14ac:dyDescent="0.25">
      <c r="A188" s="222"/>
      <c r="B188" s="222"/>
      <c r="C188" s="216"/>
      <c r="D188" s="216"/>
      <c r="E188" s="216"/>
      <c r="F188" s="216"/>
      <c r="G188" s="222"/>
      <c r="H188" s="216"/>
      <c r="I188" s="216"/>
      <c r="J188" s="216"/>
      <c r="K188" s="222"/>
    </row>
    <row r="189" spans="1:11" ht="12.75" customHeight="1" x14ac:dyDescent="0.25">
      <c r="A189" s="222"/>
      <c r="B189" s="222"/>
      <c r="C189" s="216"/>
      <c r="D189" s="216"/>
      <c r="E189" s="216"/>
      <c r="F189" s="216"/>
      <c r="G189" s="222"/>
      <c r="H189" s="216"/>
      <c r="I189" s="216"/>
      <c r="J189" s="216"/>
      <c r="K189" s="222"/>
    </row>
    <row r="190" spans="1:11" ht="12.75" customHeight="1" x14ac:dyDescent="0.25">
      <c r="A190" s="222"/>
      <c r="B190" s="222"/>
      <c r="C190" s="216"/>
      <c r="D190" s="216"/>
      <c r="E190" s="216"/>
      <c r="F190" s="216"/>
      <c r="G190" s="222"/>
      <c r="H190" s="216"/>
      <c r="I190" s="216"/>
      <c r="J190" s="216"/>
      <c r="K190" s="222"/>
    </row>
    <row r="191" spans="1:11" ht="12.75" customHeight="1" x14ac:dyDescent="0.25">
      <c r="A191" s="222"/>
      <c r="B191" s="222"/>
      <c r="C191" s="216"/>
      <c r="D191" s="216"/>
      <c r="E191" s="216"/>
      <c r="F191" s="216"/>
      <c r="G191" s="222"/>
      <c r="H191" s="216"/>
      <c r="I191" s="216"/>
      <c r="J191" s="216"/>
      <c r="K191" s="222"/>
    </row>
    <row r="192" spans="1:11" ht="12.75" customHeight="1" x14ac:dyDescent="0.25">
      <c r="A192" s="222"/>
      <c r="B192" s="222"/>
      <c r="C192" s="216"/>
      <c r="D192" s="216"/>
      <c r="E192" s="216"/>
      <c r="F192" s="216"/>
      <c r="G192" s="222"/>
      <c r="H192" s="216"/>
      <c r="I192" s="216"/>
      <c r="J192" s="216"/>
      <c r="K192" s="222"/>
    </row>
    <row r="193" spans="1:11" ht="12.75" customHeight="1" x14ac:dyDescent="0.25">
      <c r="A193" s="222"/>
      <c r="B193" s="222"/>
      <c r="C193" s="216"/>
      <c r="D193" s="216"/>
      <c r="E193" s="216"/>
      <c r="F193" s="216"/>
      <c r="G193" s="222"/>
      <c r="H193" s="216"/>
      <c r="I193" s="216"/>
      <c r="J193" s="216"/>
      <c r="K193" s="222"/>
    </row>
    <row r="194" spans="1:11" ht="12.75" customHeight="1" x14ac:dyDescent="0.25">
      <c r="A194" s="222"/>
      <c r="B194" s="222"/>
      <c r="C194" s="216"/>
      <c r="D194" s="216"/>
      <c r="E194" s="216"/>
      <c r="F194" s="216"/>
      <c r="G194" s="222"/>
      <c r="H194" s="216"/>
      <c r="I194" s="216"/>
      <c r="J194" s="216"/>
      <c r="K194" s="222"/>
    </row>
    <row r="195" spans="1:11" ht="12.75" customHeight="1" x14ac:dyDescent="0.25">
      <c r="A195" s="222"/>
      <c r="B195" s="222"/>
      <c r="C195" s="216"/>
      <c r="D195" s="216"/>
      <c r="E195" s="216"/>
      <c r="F195" s="216"/>
      <c r="G195" s="222"/>
      <c r="H195" s="216"/>
      <c r="I195" s="216"/>
      <c r="J195" s="216"/>
      <c r="K195" s="222"/>
    </row>
    <row r="196" spans="1:11" ht="12.75" customHeight="1" x14ac:dyDescent="0.25">
      <c r="A196" s="222"/>
      <c r="B196" s="222"/>
      <c r="C196" s="216"/>
      <c r="D196" s="216"/>
      <c r="E196" s="216"/>
      <c r="F196" s="216"/>
      <c r="G196" s="222"/>
      <c r="H196" s="216"/>
      <c r="I196" s="216"/>
      <c r="J196" s="216"/>
      <c r="K196" s="222"/>
    </row>
    <row r="197" spans="1:11" ht="12.75" customHeight="1" x14ac:dyDescent="0.25">
      <c r="A197" s="222"/>
      <c r="B197" s="222"/>
      <c r="C197" s="216"/>
      <c r="D197" s="216"/>
      <c r="E197" s="216"/>
      <c r="F197" s="216"/>
      <c r="G197" s="222"/>
      <c r="H197" s="216"/>
      <c r="I197" s="216"/>
      <c r="J197" s="216"/>
      <c r="K197" s="222"/>
    </row>
    <row r="198" spans="1:11" ht="12.75" customHeight="1" x14ac:dyDescent="0.25">
      <c r="A198" s="222"/>
      <c r="B198" s="222"/>
      <c r="C198" s="216"/>
      <c r="D198" s="216"/>
      <c r="E198" s="216"/>
      <c r="F198" s="216"/>
      <c r="G198" s="222"/>
      <c r="H198" s="216"/>
      <c r="I198" s="216"/>
      <c r="J198" s="216"/>
      <c r="K198" s="222"/>
    </row>
    <row r="199" spans="1:11" ht="12.75" customHeight="1" x14ac:dyDescent="0.25">
      <c r="A199" s="222"/>
      <c r="B199" s="222"/>
      <c r="C199" s="216"/>
      <c r="D199" s="216"/>
      <c r="E199" s="216"/>
      <c r="F199" s="216"/>
      <c r="G199" s="222"/>
      <c r="H199" s="216"/>
      <c r="I199" s="216"/>
      <c r="J199" s="216"/>
      <c r="K199" s="222"/>
    </row>
    <row r="200" spans="1:11" ht="12.75" customHeight="1" x14ac:dyDescent="0.25">
      <c r="A200" s="222"/>
      <c r="B200" s="222"/>
      <c r="C200" s="216"/>
      <c r="D200" s="216"/>
      <c r="E200" s="216"/>
      <c r="F200" s="216"/>
      <c r="G200" s="222"/>
      <c r="H200" s="216"/>
      <c r="I200" s="216"/>
      <c r="J200" s="216"/>
      <c r="K200" s="222"/>
    </row>
    <row r="201" spans="1:11" ht="12.75" customHeight="1" x14ac:dyDescent="0.25">
      <c r="A201" s="222"/>
      <c r="B201" s="222"/>
      <c r="C201" s="216"/>
      <c r="D201" s="216"/>
      <c r="E201" s="216"/>
      <c r="F201" s="216"/>
      <c r="G201" s="222"/>
      <c r="H201" s="216"/>
      <c r="I201" s="216"/>
      <c r="J201" s="216"/>
      <c r="K201" s="222"/>
    </row>
    <row r="202" spans="1:11" ht="12.75" customHeight="1" x14ac:dyDescent="0.25">
      <c r="A202" s="222"/>
      <c r="B202" s="222"/>
      <c r="C202" s="216"/>
      <c r="D202" s="216"/>
      <c r="E202" s="216"/>
      <c r="F202" s="216"/>
      <c r="G202" s="222"/>
      <c r="H202" s="216"/>
      <c r="I202" s="216"/>
      <c r="J202" s="216"/>
      <c r="K202" s="222"/>
    </row>
    <row r="203" spans="1:11" ht="12.75" customHeight="1" x14ac:dyDescent="0.25">
      <c r="A203" s="222"/>
      <c r="B203" s="222"/>
      <c r="C203" s="216"/>
      <c r="D203" s="216"/>
      <c r="E203" s="216"/>
      <c r="F203" s="216"/>
      <c r="G203" s="222"/>
      <c r="H203" s="216"/>
      <c r="I203" s="216"/>
      <c r="J203" s="216"/>
      <c r="K203" s="222"/>
    </row>
    <row r="204" spans="1:11" ht="12.75" customHeight="1" x14ac:dyDescent="0.25">
      <c r="A204" s="222"/>
      <c r="B204" s="222"/>
      <c r="C204" s="216"/>
      <c r="D204" s="216"/>
      <c r="E204" s="216"/>
      <c r="F204" s="216"/>
      <c r="G204" s="222"/>
      <c r="H204" s="216"/>
      <c r="I204" s="216"/>
      <c r="J204" s="216"/>
      <c r="K204" s="222"/>
    </row>
    <row r="205" spans="1:11" ht="12.75" customHeight="1" x14ac:dyDescent="0.25">
      <c r="A205" s="222"/>
      <c r="B205" s="222"/>
      <c r="C205" s="216"/>
      <c r="D205" s="216"/>
      <c r="E205" s="216"/>
      <c r="F205" s="216"/>
      <c r="G205" s="222"/>
      <c r="H205" s="216"/>
      <c r="I205" s="216"/>
      <c r="J205" s="216"/>
      <c r="K205" s="222"/>
    </row>
    <row r="206" spans="1:11" ht="12.75" customHeight="1" x14ac:dyDescent="0.25">
      <c r="A206" s="222"/>
      <c r="B206" s="222"/>
      <c r="C206" s="216"/>
      <c r="D206" s="216"/>
      <c r="E206" s="216"/>
      <c r="F206" s="216"/>
      <c r="G206" s="222"/>
      <c r="H206" s="216"/>
      <c r="I206" s="216"/>
      <c r="J206" s="216"/>
      <c r="K206" s="222"/>
    </row>
    <row r="207" spans="1:11" ht="12.75" customHeight="1" x14ac:dyDescent="0.25">
      <c r="A207" s="222"/>
      <c r="B207" s="222"/>
      <c r="C207" s="216"/>
      <c r="D207" s="216"/>
      <c r="E207" s="216"/>
      <c r="F207" s="216"/>
      <c r="G207" s="222"/>
      <c r="H207" s="216"/>
      <c r="I207" s="216"/>
      <c r="J207" s="216"/>
      <c r="K207" s="222"/>
    </row>
    <row r="208" spans="1:11" ht="12.75" customHeight="1" x14ac:dyDescent="0.25">
      <c r="A208" s="222"/>
      <c r="B208" s="222"/>
      <c r="C208" s="216"/>
      <c r="D208" s="216"/>
      <c r="E208" s="216"/>
      <c r="F208" s="216"/>
      <c r="G208" s="222"/>
      <c r="H208" s="216"/>
      <c r="I208" s="216"/>
      <c r="J208" s="216"/>
      <c r="K208" s="222"/>
    </row>
    <row r="209" spans="1:11" ht="12.75" customHeight="1" x14ac:dyDescent="0.25">
      <c r="A209" s="222"/>
      <c r="B209" s="222"/>
      <c r="C209" s="216"/>
      <c r="D209" s="216"/>
      <c r="E209" s="216"/>
      <c r="F209" s="216"/>
      <c r="G209" s="222"/>
      <c r="H209" s="216"/>
      <c r="I209" s="216"/>
      <c r="J209" s="216"/>
      <c r="K209" s="222"/>
    </row>
    <row r="210" spans="1:11" ht="12.75" customHeight="1" x14ac:dyDescent="0.25">
      <c r="A210" s="222"/>
      <c r="B210" s="222"/>
      <c r="C210" s="216"/>
      <c r="D210" s="216"/>
      <c r="E210" s="216"/>
      <c r="F210" s="216"/>
      <c r="G210" s="222"/>
      <c r="H210" s="216"/>
      <c r="I210" s="216"/>
      <c r="J210" s="216"/>
      <c r="K210" s="222"/>
    </row>
    <row r="211" spans="1:11" ht="12.75" customHeight="1" x14ac:dyDescent="0.25">
      <c r="A211" s="222"/>
      <c r="B211" s="222"/>
      <c r="C211" s="216"/>
      <c r="D211" s="216"/>
      <c r="E211" s="216"/>
      <c r="F211" s="216"/>
      <c r="G211" s="222"/>
      <c r="H211" s="216"/>
      <c r="I211" s="216"/>
      <c r="J211" s="216"/>
      <c r="K211" s="222"/>
    </row>
    <row r="212" spans="1:11" ht="12.75" customHeight="1" x14ac:dyDescent="0.25">
      <c r="A212" s="222"/>
      <c r="B212" s="222"/>
      <c r="C212" s="216"/>
      <c r="D212" s="216"/>
      <c r="E212" s="216"/>
      <c r="F212" s="216"/>
      <c r="G212" s="222"/>
      <c r="H212" s="216"/>
      <c r="I212" s="216"/>
      <c r="J212" s="216"/>
      <c r="K212" s="222"/>
    </row>
    <row r="213" spans="1:11" ht="12.75" customHeight="1" x14ac:dyDescent="0.25">
      <c r="A213" s="222"/>
      <c r="B213" s="222"/>
      <c r="C213" s="216"/>
      <c r="D213" s="216"/>
      <c r="E213" s="216"/>
      <c r="F213" s="216"/>
      <c r="G213" s="222"/>
      <c r="H213" s="216"/>
      <c r="I213" s="216"/>
      <c r="J213" s="216"/>
      <c r="K213" s="222"/>
    </row>
    <row r="214" spans="1:11" ht="12.75" customHeight="1" x14ac:dyDescent="0.25">
      <c r="A214" s="222"/>
      <c r="B214" s="222"/>
      <c r="C214" s="216"/>
      <c r="D214" s="216"/>
      <c r="E214" s="216"/>
      <c r="F214" s="216"/>
      <c r="G214" s="222"/>
      <c r="H214" s="216"/>
      <c r="I214" s="216"/>
      <c r="J214" s="216"/>
      <c r="K214" s="222"/>
    </row>
    <row r="215" spans="1:11" ht="12.75" customHeight="1" x14ac:dyDescent="0.25">
      <c r="A215" s="222"/>
      <c r="B215" s="222"/>
      <c r="C215" s="216"/>
      <c r="D215" s="216"/>
      <c r="E215" s="216"/>
      <c r="F215" s="216"/>
      <c r="G215" s="222"/>
      <c r="H215" s="216"/>
      <c r="I215" s="216"/>
      <c r="J215" s="216"/>
      <c r="K215" s="222"/>
    </row>
    <row r="216" spans="1:11" ht="12.75" customHeight="1" x14ac:dyDescent="0.25">
      <c r="A216" s="222"/>
      <c r="B216" s="222"/>
      <c r="C216" s="216"/>
      <c r="D216" s="216"/>
      <c r="E216" s="216"/>
      <c r="F216" s="216"/>
      <c r="G216" s="222"/>
      <c r="H216" s="216"/>
      <c r="I216" s="216"/>
      <c r="J216" s="216"/>
      <c r="K216" s="222"/>
    </row>
    <row r="217" spans="1:11" ht="12.75" customHeight="1" x14ac:dyDescent="0.25">
      <c r="A217" s="222"/>
      <c r="B217" s="222"/>
      <c r="C217" s="216"/>
      <c r="D217" s="216"/>
      <c r="E217" s="216"/>
      <c r="F217" s="216"/>
      <c r="G217" s="222"/>
      <c r="H217" s="216"/>
      <c r="I217" s="216"/>
      <c r="J217" s="216"/>
      <c r="K217" s="222"/>
    </row>
    <row r="218" spans="1:11" ht="12.75" customHeight="1" x14ac:dyDescent="0.25">
      <c r="A218" s="222"/>
      <c r="B218" s="222"/>
      <c r="C218" s="216"/>
      <c r="D218" s="216"/>
      <c r="E218" s="216"/>
      <c r="F218" s="216"/>
      <c r="G218" s="222"/>
      <c r="H218" s="216"/>
      <c r="I218" s="216"/>
      <c r="J218" s="216"/>
      <c r="K218" s="222"/>
    </row>
    <row r="219" spans="1:11" ht="12.75" customHeight="1" x14ac:dyDescent="0.25">
      <c r="A219" s="222"/>
      <c r="B219" s="222"/>
      <c r="C219" s="216"/>
      <c r="D219" s="216"/>
      <c r="E219" s="216"/>
      <c r="F219" s="216"/>
      <c r="G219" s="222"/>
      <c r="H219" s="216"/>
      <c r="I219" s="216"/>
      <c r="J219" s="216"/>
      <c r="K219" s="222"/>
    </row>
    <row r="220" spans="1:11" ht="12.75" customHeight="1" x14ac:dyDescent="0.25">
      <c r="A220" s="222"/>
      <c r="B220" s="222"/>
      <c r="C220" s="216"/>
      <c r="D220" s="216"/>
      <c r="E220" s="216"/>
      <c r="F220" s="216"/>
      <c r="G220" s="222"/>
      <c r="H220" s="216"/>
      <c r="I220" s="216"/>
      <c r="J220" s="216"/>
      <c r="K220" s="222"/>
    </row>
    <row r="221" spans="1:11" ht="12.75" customHeight="1" x14ac:dyDescent="0.25">
      <c r="A221" s="222"/>
      <c r="B221" s="222"/>
      <c r="C221" s="216"/>
      <c r="D221" s="216"/>
      <c r="E221" s="216"/>
      <c r="F221" s="216"/>
      <c r="G221" s="222"/>
      <c r="H221" s="216"/>
      <c r="I221" s="216"/>
      <c r="J221" s="216"/>
      <c r="K221" s="222"/>
    </row>
    <row r="222" spans="1:11" ht="12.75" customHeight="1" x14ac:dyDescent="0.25">
      <c r="A222" s="222"/>
      <c r="B222" s="222"/>
      <c r="C222" s="216"/>
      <c r="D222" s="216"/>
      <c r="E222" s="216"/>
      <c r="F222" s="216"/>
      <c r="G222" s="222"/>
      <c r="H222" s="216"/>
      <c r="I222" s="216"/>
      <c r="J222" s="216"/>
      <c r="K222" s="222"/>
    </row>
    <row r="223" spans="1:11" ht="12.75" customHeight="1" x14ac:dyDescent="0.25">
      <c r="A223" s="222"/>
      <c r="B223" s="222"/>
      <c r="C223" s="216"/>
      <c r="D223" s="216"/>
      <c r="E223" s="216"/>
      <c r="F223" s="216"/>
      <c r="G223" s="222"/>
      <c r="H223" s="216"/>
      <c r="I223" s="216"/>
      <c r="J223" s="216"/>
      <c r="K223" s="222"/>
    </row>
    <row r="224" spans="1:11" ht="12.75" customHeight="1" x14ac:dyDescent="0.25">
      <c r="A224" s="222"/>
      <c r="B224" s="222"/>
      <c r="C224" s="216"/>
      <c r="D224" s="216"/>
      <c r="E224" s="216"/>
      <c r="F224" s="216"/>
      <c r="G224" s="222"/>
      <c r="H224" s="216"/>
      <c r="I224" s="216"/>
      <c r="J224" s="216"/>
      <c r="K224" s="222"/>
    </row>
    <row r="225" spans="1:11" ht="12.75" customHeight="1" x14ac:dyDescent="0.25">
      <c r="A225" s="222"/>
      <c r="B225" s="222"/>
      <c r="C225" s="216"/>
      <c r="D225" s="216"/>
      <c r="E225" s="216"/>
      <c r="F225" s="216"/>
      <c r="G225" s="222"/>
      <c r="H225" s="216"/>
      <c r="I225" s="216"/>
      <c r="J225" s="216"/>
      <c r="K225" s="222"/>
    </row>
    <row r="226" spans="1:11" ht="12.75" customHeight="1" x14ac:dyDescent="0.25">
      <c r="A226" s="222"/>
      <c r="B226" s="222"/>
      <c r="C226" s="216"/>
      <c r="D226" s="216"/>
      <c r="E226" s="216"/>
      <c r="F226" s="216"/>
      <c r="G226" s="222"/>
      <c r="H226" s="216"/>
      <c r="I226" s="216"/>
      <c r="J226" s="216"/>
      <c r="K226" s="222"/>
    </row>
    <row r="227" spans="1:11" ht="12.75" customHeight="1" x14ac:dyDescent="0.25">
      <c r="A227" s="222"/>
      <c r="B227" s="222"/>
      <c r="C227" s="216"/>
      <c r="D227" s="216"/>
      <c r="E227" s="216"/>
      <c r="F227" s="216"/>
      <c r="G227" s="222"/>
      <c r="H227" s="216"/>
      <c r="I227" s="216"/>
      <c r="J227" s="216"/>
      <c r="K227" s="222"/>
    </row>
    <row r="228" spans="1:11" ht="12.75" customHeight="1" x14ac:dyDescent="0.25">
      <c r="A228" s="222"/>
      <c r="B228" s="222"/>
      <c r="C228" s="216"/>
      <c r="D228" s="216"/>
      <c r="E228" s="216"/>
      <c r="F228" s="216"/>
      <c r="G228" s="222"/>
      <c r="H228" s="216"/>
      <c r="I228" s="216"/>
      <c r="J228" s="216"/>
      <c r="K228" s="222"/>
    </row>
    <row r="229" spans="1:11" ht="12.75" customHeight="1" x14ac:dyDescent="0.25">
      <c r="A229" s="222"/>
      <c r="B229" s="222"/>
      <c r="C229" s="216"/>
      <c r="D229" s="216"/>
      <c r="E229" s="216"/>
      <c r="F229" s="216"/>
      <c r="G229" s="222"/>
      <c r="H229" s="216"/>
      <c r="I229" s="216"/>
      <c r="J229" s="216"/>
      <c r="K229" s="222"/>
    </row>
    <row r="230" spans="1:11" ht="12.75" customHeight="1" x14ac:dyDescent="0.25">
      <c r="A230" s="222"/>
      <c r="B230" s="222"/>
      <c r="C230" s="216"/>
      <c r="D230" s="216"/>
      <c r="E230" s="216"/>
      <c r="F230" s="216"/>
      <c r="G230" s="222"/>
      <c r="H230" s="216"/>
      <c r="I230" s="216"/>
      <c r="J230" s="216"/>
      <c r="K230" s="222"/>
    </row>
    <row r="231" spans="1:11" ht="12.75" customHeight="1" x14ac:dyDescent="0.25">
      <c r="A231" s="222"/>
      <c r="B231" s="222"/>
      <c r="C231" s="216"/>
      <c r="D231" s="216"/>
      <c r="E231" s="216"/>
      <c r="F231" s="216"/>
      <c r="G231" s="222"/>
      <c r="H231" s="216"/>
      <c r="I231" s="216"/>
      <c r="J231" s="216"/>
      <c r="K231" s="222"/>
    </row>
    <row r="232" spans="1:11" ht="12.75" customHeight="1" x14ac:dyDescent="0.25">
      <c r="A232" s="222"/>
      <c r="B232" s="222"/>
      <c r="C232" s="216"/>
      <c r="D232" s="216"/>
      <c r="E232" s="216"/>
      <c r="F232" s="216"/>
      <c r="G232" s="222"/>
      <c r="H232" s="216"/>
      <c r="I232" s="216"/>
      <c r="J232" s="216"/>
      <c r="K232" s="222"/>
    </row>
    <row r="233" spans="1:11" ht="12.75" customHeight="1" x14ac:dyDescent="0.25">
      <c r="A233" s="222"/>
      <c r="B233" s="222"/>
      <c r="C233" s="216"/>
      <c r="D233" s="216"/>
      <c r="E233" s="216"/>
      <c r="F233" s="216"/>
      <c r="G233" s="222"/>
      <c r="H233" s="216"/>
      <c r="I233" s="216"/>
      <c r="J233" s="216"/>
      <c r="K233" s="222"/>
    </row>
    <row r="234" spans="1:11" ht="12.75" customHeight="1" x14ac:dyDescent="0.25">
      <c r="A234" s="222"/>
      <c r="B234" s="222"/>
      <c r="C234" s="216"/>
      <c r="D234" s="216"/>
      <c r="E234" s="216"/>
      <c r="F234" s="216"/>
      <c r="G234" s="222"/>
      <c r="H234" s="216"/>
      <c r="I234" s="216"/>
      <c r="J234" s="216"/>
      <c r="K234" s="222"/>
    </row>
    <row r="235" spans="1:11" ht="12.75" customHeight="1" x14ac:dyDescent="0.25">
      <c r="A235" s="222"/>
      <c r="B235" s="222"/>
      <c r="C235" s="216"/>
      <c r="D235" s="216"/>
      <c r="E235" s="216"/>
      <c r="F235" s="216"/>
      <c r="G235" s="222"/>
      <c r="H235" s="216"/>
      <c r="I235" s="216"/>
      <c r="J235" s="216"/>
      <c r="K235" s="222"/>
    </row>
    <row r="236" spans="1:11" ht="12.75" customHeight="1" x14ac:dyDescent="0.25">
      <c r="A236" s="222"/>
      <c r="B236" s="222"/>
      <c r="C236" s="216"/>
      <c r="D236" s="216"/>
      <c r="E236" s="216"/>
      <c r="F236" s="216"/>
      <c r="G236" s="222"/>
      <c r="H236" s="216"/>
      <c r="I236" s="216"/>
      <c r="J236" s="216"/>
      <c r="K236" s="222"/>
    </row>
    <row r="237" spans="1:11" ht="12.75" customHeight="1" x14ac:dyDescent="0.25">
      <c r="A237" s="222"/>
      <c r="B237" s="222"/>
      <c r="C237" s="216"/>
      <c r="D237" s="216"/>
      <c r="E237" s="216"/>
      <c r="F237" s="216"/>
      <c r="G237" s="222"/>
      <c r="H237" s="216"/>
      <c r="I237" s="216"/>
      <c r="J237" s="216"/>
      <c r="K237" s="222"/>
    </row>
    <row r="238" spans="1:11" ht="12.75" customHeight="1" x14ac:dyDescent="0.25">
      <c r="A238" s="222"/>
      <c r="B238" s="222"/>
      <c r="C238" s="216"/>
      <c r="D238" s="216"/>
      <c r="E238" s="216"/>
      <c r="F238" s="216"/>
      <c r="G238" s="222"/>
      <c r="H238" s="216"/>
      <c r="I238" s="216"/>
      <c r="J238" s="216"/>
      <c r="K238" s="222"/>
    </row>
    <row r="239" spans="1:11" ht="12.75" customHeight="1" x14ac:dyDescent="0.25">
      <c r="A239" s="222"/>
      <c r="B239" s="222"/>
      <c r="C239" s="216"/>
      <c r="D239" s="216"/>
      <c r="E239" s="216"/>
      <c r="F239" s="216"/>
      <c r="G239" s="222"/>
      <c r="H239" s="216"/>
      <c r="I239" s="216"/>
      <c r="J239" s="216"/>
      <c r="K239" s="222"/>
    </row>
    <row r="240" spans="1:11" ht="12.75" customHeight="1" x14ac:dyDescent="0.25">
      <c r="A240" s="222"/>
      <c r="B240" s="222"/>
      <c r="C240" s="216"/>
      <c r="D240" s="216"/>
      <c r="E240" s="216"/>
      <c r="F240" s="216"/>
      <c r="G240" s="222"/>
      <c r="H240" s="216"/>
      <c r="I240" s="216"/>
      <c r="J240" s="216"/>
      <c r="K240" s="222"/>
    </row>
    <row r="241" spans="1:11" ht="12.75" customHeight="1" x14ac:dyDescent="0.25">
      <c r="A241" s="222"/>
      <c r="B241" s="222"/>
      <c r="C241" s="216"/>
      <c r="D241" s="216"/>
      <c r="E241" s="216"/>
      <c r="F241" s="216"/>
      <c r="G241" s="222"/>
      <c r="H241" s="216"/>
      <c r="I241" s="216"/>
      <c r="J241" s="216"/>
      <c r="K241" s="222"/>
    </row>
    <row r="242" spans="1:11" ht="12.75" customHeight="1" x14ac:dyDescent="0.25">
      <c r="A242" s="222"/>
      <c r="B242" s="222"/>
      <c r="C242" s="216"/>
      <c r="D242" s="216"/>
      <c r="E242" s="216"/>
      <c r="F242" s="216"/>
      <c r="G242" s="222"/>
      <c r="H242" s="216"/>
      <c r="I242" s="216"/>
      <c r="J242" s="216"/>
      <c r="K242" s="222"/>
    </row>
    <row r="243" spans="1:11" ht="12.75" customHeight="1" x14ac:dyDescent="0.25">
      <c r="A243" s="222"/>
      <c r="B243" s="222"/>
      <c r="C243" s="216"/>
      <c r="D243" s="216"/>
      <c r="E243" s="216"/>
      <c r="F243" s="216"/>
      <c r="G243" s="222"/>
      <c r="H243" s="216"/>
      <c r="I243" s="216"/>
      <c r="J243" s="216"/>
      <c r="K243" s="222"/>
    </row>
    <row r="244" spans="1:11" ht="12.75" customHeight="1" x14ac:dyDescent="0.25">
      <c r="A244" s="222"/>
      <c r="B244" s="222"/>
      <c r="C244" s="216"/>
      <c r="D244" s="216"/>
      <c r="E244" s="216"/>
      <c r="F244" s="216"/>
      <c r="G244" s="222"/>
      <c r="H244" s="216"/>
      <c r="I244" s="216"/>
      <c r="J244" s="216"/>
      <c r="K244" s="222"/>
    </row>
    <row r="245" spans="1:11" ht="12.75" customHeight="1" x14ac:dyDescent="0.25">
      <c r="A245" s="222"/>
      <c r="B245" s="222"/>
      <c r="C245" s="216"/>
      <c r="D245" s="216"/>
      <c r="E245" s="216"/>
      <c r="F245" s="216"/>
      <c r="G245" s="222"/>
      <c r="H245" s="216"/>
      <c r="I245" s="216"/>
      <c r="J245" s="216"/>
      <c r="K245" s="222"/>
    </row>
    <row r="246" spans="1:11" ht="12.75" customHeight="1" x14ac:dyDescent="0.25">
      <c r="A246" s="222"/>
      <c r="B246" s="222"/>
      <c r="C246" s="216"/>
      <c r="D246" s="216"/>
      <c r="E246" s="216"/>
      <c r="F246" s="216"/>
      <c r="G246" s="222"/>
      <c r="H246" s="216"/>
      <c r="I246" s="216"/>
      <c r="J246" s="216"/>
      <c r="K246" s="222"/>
    </row>
    <row r="247" spans="1:11" ht="12.75" customHeight="1" x14ac:dyDescent="0.25">
      <c r="A247" s="222"/>
      <c r="B247" s="222"/>
      <c r="C247" s="216"/>
      <c r="D247" s="216"/>
      <c r="E247" s="216"/>
      <c r="F247" s="216"/>
      <c r="G247" s="222"/>
      <c r="H247" s="216"/>
      <c r="I247" s="216"/>
      <c r="J247" s="216"/>
      <c r="K247" s="222"/>
    </row>
    <row r="248" spans="1:11" ht="12.75" customHeight="1" x14ac:dyDescent="0.25">
      <c r="A248" s="222"/>
      <c r="B248" s="222"/>
      <c r="C248" s="216"/>
      <c r="D248" s="216"/>
      <c r="E248" s="216"/>
      <c r="F248" s="216"/>
      <c r="G248" s="222"/>
      <c r="H248" s="216"/>
      <c r="I248" s="216"/>
      <c r="J248" s="216"/>
      <c r="K248" s="222"/>
    </row>
    <row r="249" spans="1:11" ht="12.75" customHeight="1" x14ac:dyDescent="0.25">
      <c r="A249" s="222"/>
      <c r="B249" s="222"/>
      <c r="C249" s="216"/>
      <c r="D249" s="216"/>
      <c r="E249" s="216"/>
      <c r="F249" s="216"/>
      <c r="G249" s="222"/>
      <c r="H249" s="216"/>
      <c r="I249" s="216"/>
      <c r="J249" s="216"/>
      <c r="K249" s="222"/>
    </row>
    <row r="250" spans="1:11" ht="12.75" customHeight="1" x14ac:dyDescent="0.25">
      <c r="A250" s="222"/>
      <c r="B250" s="222"/>
      <c r="C250" s="216"/>
      <c r="D250" s="216"/>
      <c r="E250" s="216"/>
      <c r="F250" s="216"/>
      <c r="G250" s="222"/>
      <c r="H250" s="216"/>
      <c r="I250" s="216"/>
      <c r="J250" s="216"/>
      <c r="K250" s="222"/>
    </row>
    <row r="251" spans="1:11" ht="12.75" customHeight="1" x14ac:dyDescent="0.25">
      <c r="A251" s="222"/>
      <c r="B251" s="222"/>
      <c r="C251" s="216"/>
      <c r="D251" s="216"/>
      <c r="E251" s="216"/>
      <c r="F251" s="216"/>
      <c r="G251" s="222"/>
      <c r="H251" s="216"/>
      <c r="I251" s="216"/>
      <c r="J251" s="216"/>
      <c r="K251" s="222"/>
    </row>
    <row r="252" spans="1:11" ht="12.75" customHeight="1" x14ac:dyDescent="0.25">
      <c r="A252" s="222"/>
      <c r="B252" s="222"/>
      <c r="C252" s="216"/>
      <c r="D252" s="216"/>
      <c r="E252" s="216"/>
      <c r="F252" s="216"/>
      <c r="G252" s="222"/>
      <c r="H252" s="216"/>
      <c r="I252" s="216"/>
      <c r="J252" s="216"/>
      <c r="K252" s="222"/>
    </row>
    <row r="253" spans="1:11" ht="12.75" customHeight="1" x14ac:dyDescent="0.25">
      <c r="A253" s="222"/>
      <c r="B253" s="222"/>
      <c r="C253" s="216"/>
      <c r="D253" s="216"/>
      <c r="E253" s="216"/>
      <c r="F253" s="216"/>
      <c r="G253" s="222"/>
      <c r="H253" s="216"/>
      <c r="I253" s="216"/>
      <c r="J253" s="216"/>
      <c r="K253" s="222"/>
    </row>
    <row r="254" spans="1:11" ht="12.75" customHeight="1" x14ac:dyDescent="0.25">
      <c r="A254" s="222"/>
      <c r="B254" s="222"/>
      <c r="C254" s="216"/>
      <c r="D254" s="216"/>
      <c r="E254" s="216"/>
      <c r="F254" s="216"/>
      <c r="G254" s="222"/>
      <c r="H254" s="216"/>
      <c r="I254" s="216"/>
      <c r="J254" s="216"/>
      <c r="K254" s="222"/>
    </row>
    <row r="255" spans="1:11" ht="12.75" customHeight="1" x14ac:dyDescent="0.25">
      <c r="A255" s="222"/>
      <c r="B255" s="222"/>
      <c r="C255" s="216"/>
      <c r="D255" s="216"/>
      <c r="E255" s="216"/>
      <c r="F255" s="216"/>
      <c r="G255" s="222"/>
      <c r="H255" s="216"/>
      <c r="I255" s="216"/>
      <c r="J255" s="216"/>
      <c r="K255" s="222"/>
    </row>
    <row r="256" spans="1:11" ht="12.75" customHeight="1" x14ac:dyDescent="0.25">
      <c r="A256" s="222"/>
      <c r="B256" s="222"/>
      <c r="C256" s="216"/>
      <c r="D256" s="216"/>
      <c r="E256" s="216"/>
      <c r="F256" s="216"/>
      <c r="G256" s="222"/>
      <c r="H256" s="216"/>
      <c r="I256" s="216"/>
      <c r="J256" s="216"/>
      <c r="K256" s="222"/>
    </row>
    <row r="257" spans="1:11" ht="12.75" customHeight="1" x14ac:dyDescent="0.25">
      <c r="A257" s="222"/>
      <c r="B257" s="222"/>
      <c r="C257" s="216"/>
      <c r="D257" s="216"/>
      <c r="E257" s="216"/>
      <c r="F257" s="216"/>
      <c r="G257" s="222"/>
      <c r="H257" s="216"/>
      <c r="I257" s="216"/>
      <c r="J257" s="216"/>
      <c r="K257" s="222"/>
    </row>
    <row r="258" spans="1:11" ht="12.75" customHeight="1" x14ac:dyDescent="0.25">
      <c r="A258" s="222"/>
      <c r="B258" s="222"/>
      <c r="C258" s="216"/>
      <c r="D258" s="216"/>
      <c r="E258" s="216"/>
      <c r="F258" s="216"/>
      <c r="G258" s="222"/>
      <c r="H258" s="216"/>
      <c r="I258" s="216"/>
      <c r="J258" s="216"/>
      <c r="K258" s="222"/>
    </row>
    <row r="259" spans="1:11" ht="12.75" customHeight="1" x14ac:dyDescent="0.25">
      <c r="A259" s="222"/>
      <c r="B259" s="222"/>
      <c r="C259" s="216"/>
      <c r="D259" s="216"/>
      <c r="E259" s="216"/>
      <c r="F259" s="216"/>
      <c r="G259" s="222"/>
      <c r="H259" s="216"/>
      <c r="I259" s="216"/>
      <c r="J259" s="216"/>
      <c r="K259" s="222"/>
    </row>
    <row r="260" spans="1:11" ht="12.75" customHeight="1" x14ac:dyDescent="0.25">
      <c r="A260" s="222"/>
      <c r="B260" s="222"/>
      <c r="C260" s="216"/>
      <c r="D260" s="216"/>
      <c r="E260" s="216"/>
      <c r="F260" s="216"/>
      <c r="G260" s="222"/>
      <c r="H260" s="216"/>
      <c r="I260" s="216"/>
      <c r="J260" s="216"/>
      <c r="K260" s="222"/>
    </row>
    <row r="261" spans="1:11" ht="12.75" customHeight="1" x14ac:dyDescent="0.25">
      <c r="A261" s="222"/>
      <c r="B261" s="222"/>
      <c r="C261" s="216"/>
      <c r="D261" s="216"/>
      <c r="E261" s="216"/>
      <c r="F261" s="216"/>
      <c r="G261" s="222"/>
      <c r="H261" s="216"/>
      <c r="I261" s="216"/>
      <c r="J261" s="216"/>
      <c r="K261" s="222"/>
    </row>
    <row r="262" spans="1:11" ht="12.75" customHeight="1" x14ac:dyDescent="0.25">
      <c r="A262" s="222"/>
      <c r="B262" s="222"/>
      <c r="C262" s="216"/>
      <c r="D262" s="216"/>
      <c r="E262" s="216"/>
      <c r="F262" s="216"/>
      <c r="G262" s="222"/>
      <c r="H262" s="216"/>
      <c r="I262" s="216"/>
      <c r="J262" s="216"/>
      <c r="K262" s="222"/>
    </row>
    <row r="263" spans="1:11" ht="12.75" customHeight="1" x14ac:dyDescent="0.25">
      <c r="A263" s="222"/>
      <c r="B263" s="222"/>
      <c r="C263" s="216"/>
      <c r="D263" s="216"/>
      <c r="E263" s="216"/>
      <c r="F263" s="216"/>
      <c r="G263" s="222"/>
      <c r="H263" s="216"/>
      <c r="I263" s="216"/>
      <c r="J263" s="216"/>
      <c r="K263" s="222"/>
    </row>
    <row r="264" spans="1:11" ht="12.75" customHeight="1" x14ac:dyDescent="0.25">
      <c r="A264" s="222"/>
      <c r="B264" s="222"/>
      <c r="C264" s="216"/>
      <c r="D264" s="216"/>
      <c r="E264" s="216"/>
      <c r="F264" s="216"/>
      <c r="G264" s="222"/>
      <c r="H264" s="216"/>
      <c r="I264" s="216"/>
      <c r="J264" s="216"/>
      <c r="K264" s="222"/>
    </row>
    <row r="265" spans="1:11" ht="12.75" customHeight="1" x14ac:dyDescent="0.25">
      <c r="A265" s="222"/>
      <c r="B265" s="222"/>
      <c r="C265" s="216"/>
      <c r="D265" s="216"/>
      <c r="E265" s="216"/>
      <c r="F265" s="216"/>
      <c r="G265" s="222"/>
      <c r="H265" s="216"/>
      <c r="I265" s="216"/>
      <c r="J265" s="216"/>
      <c r="K265" s="222"/>
    </row>
    <row r="266" spans="1:11" ht="12.75" customHeight="1" x14ac:dyDescent="0.25">
      <c r="A266" s="222"/>
      <c r="B266" s="222"/>
      <c r="C266" s="216"/>
      <c r="D266" s="216"/>
      <c r="E266" s="216"/>
      <c r="F266" s="216"/>
      <c r="G266" s="222"/>
      <c r="H266" s="216"/>
      <c r="I266" s="216"/>
      <c r="J266" s="216"/>
      <c r="K266" s="222"/>
    </row>
    <row r="267" spans="1:11" ht="12.75" customHeight="1" x14ac:dyDescent="0.25">
      <c r="A267" s="222"/>
      <c r="B267" s="222"/>
      <c r="C267" s="216"/>
      <c r="D267" s="216"/>
      <c r="E267" s="216"/>
      <c r="F267" s="216"/>
      <c r="G267" s="222"/>
      <c r="H267" s="216"/>
      <c r="I267" s="216"/>
      <c r="J267" s="216"/>
      <c r="K267" s="222"/>
    </row>
    <row r="268" spans="1:11" ht="12.75" customHeight="1" x14ac:dyDescent="0.25">
      <c r="A268" s="222"/>
      <c r="B268" s="222"/>
      <c r="C268" s="216"/>
      <c r="D268" s="216"/>
      <c r="E268" s="216"/>
      <c r="F268" s="216"/>
      <c r="G268" s="222"/>
      <c r="H268" s="216"/>
      <c r="I268" s="216"/>
      <c r="J268" s="216"/>
      <c r="K268" s="222"/>
    </row>
    <row r="269" spans="1:11" ht="12.75" customHeight="1" x14ac:dyDescent="0.25">
      <c r="A269" s="222"/>
      <c r="B269" s="222"/>
      <c r="C269" s="216"/>
      <c r="D269" s="216"/>
      <c r="E269" s="216"/>
      <c r="F269" s="216"/>
      <c r="G269" s="222"/>
      <c r="H269" s="216"/>
      <c r="I269" s="216"/>
      <c r="J269" s="216"/>
      <c r="K269" s="222"/>
    </row>
    <row r="270" spans="1:11" ht="12.75" customHeight="1" x14ac:dyDescent="0.25">
      <c r="A270" s="222"/>
      <c r="B270" s="222"/>
      <c r="C270" s="216"/>
      <c r="D270" s="216"/>
      <c r="E270" s="216"/>
      <c r="F270" s="216"/>
      <c r="G270" s="222"/>
      <c r="H270" s="216"/>
      <c r="I270" s="216"/>
      <c r="J270" s="216"/>
      <c r="K270" s="222"/>
    </row>
    <row r="271" spans="1:11" ht="12.75" customHeight="1" x14ac:dyDescent="0.25">
      <c r="A271" s="222"/>
      <c r="B271" s="222"/>
      <c r="C271" s="216"/>
      <c r="D271" s="216"/>
      <c r="E271" s="216"/>
      <c r="F271" s="216"/>
      <c r="G271" s="222"/>
      <c r="H271" s="216"/>
      <c r="I271" s="216"/>
      <c r="J271" s="216"/>
      <c r="K271" s="222"/>
    </row>
    <row r="272" spans="1:11" ht="12.75" customHeight="1" x14ac:dyDescent="0.25">
      <c r="A272" s="222"/>
      <c r="B272" s="222"/>
      <c r="C272" s="216"/>
      <c r="D272" s="216"/>
      <c r="E272" s="216"/>
      <c r="F272" s="216"/>
      <c r="G272" s="222"/>
      <c r="H272" s="216"/>
      <c r="I272" s="216"/>
      <c r="J272" s="216"/>
      <c r="K272" s="222"/>
    </row>
    <row r="273" spans="1:11" ht="12.75" customHeight="1" x14ac:dyDescent="0.25">
      <c r="A273" s="222"/>
      <c r="B273" s="222"/>
      <c r="C273" s="216"/>
      <c r="D273" s="216"/>
      <c r="E273" s="216"/>
      <c r="F273" s="216"/>
      <c r="G273" s="222"/>
      <c r="H273" s="216"/>
      <c r="I273" s="216"/>
      <c r="J273" s="216"/>
      <c r="K273" s="222"/>
    </row>
    <row r="274" spans="1:11" ht="12.75" customHeight="1" x14ac:dyDescent="0.25">
      <c r="A274" s="222"/>
      <c r="B274" s="222"/>
      <c r="C274" s="216"/>
      <c r="D274" s="216"/>
      <c r="E274" s="216"/>
      <c r="F274" s="216"/>
      <c r="G274" s="222"/>
      <c r="H274" s="216"/>
      <c r="I274" s="216"/>
      <c r="J274" s="216"/>
      <c r="K274" s="222"/>
    </row>
    <row r="275" spans="1:11" ht="12.75" customHeight="1" x14ac:dyDescent="0.25">
      <c r="A275" s="222"/>
      <c r="B275" s="222"/>
      <c r="C275" s="216"/>
      <c r="D275" s="216"/>
      <c r="E275" s="216"/>
      <c r="F275" s="216"/>
      <c r="G275" s="222"/>
      <c r="H275" s="216"/>
      <c r="I275" s="216"/>
      <c r="J275" s="216"/>
      <c r="K275" s="222"/>
    </row>
    <row r="276" spans="1:11" ht="12.75" customHeight="1" x14ac:dyDescent="0.25">
      <c r="A276" s="222"/>
      <c r="B276" s="222"/>
      <c r="C276" s="216"/>
      <c r="D276" s="216"/>
      <c r="E276" s="216"/>
      <c r="F276" s="216"/>
      <c r="G276" s="222"/>
      <c r="H276" s="216"/>
      <c r="I276" s="216"/>
      <c r="J276" s="216"/>
      <c r="K276" s="222"/>
    </row>
    <row r="277" spans="1:11" ht="12.75" customHeight="1" x14ac:dyDescent="0.25">
      <c r="A277" s="222"/>
      <c r="B277" s="222"/>
      <c r="C277" s="216"/>
      <c r="D277" s="216"/>
      <c r="E277" s="216"/>
      <c r="F277" s="216"/>
      <c r="G277" s="222"/>
      <c r="H277" s="216"/>
      <c r="I277" s="216"/>
      <c r="J277" s="216"/>
      <c r="K277" s="222"/>
    </row>
    <row r="278" spans="1:11" ht="12.75" customHeight="1" x14ac:dyDescent="0.25">
      <c r="A278" s="222"/>
      <c r="B278" s="222"/>
      <c r="C278" s="216"/>
      <c r="D278" s="216"/>
      <c r="E278" s="216"/>
      <c r="F278" s="216"/>
      <c r="G278" s="222"/>
      <c r="H278" s="216"/>
      <c r="I278" s="216"/>
      <c r="J278" s="216"/>
      <c r="K278" s="222"/>
    </row>
    <row r="279" spans="1:11" ht="12.75" customHeight="1" x14ac:dyDescent="0.25">
      <c r="A279" s="222"/>
      <c r="B279" s="222"/>
      <c r="C279" s="216"/>
      <c r="D279" s="216"/>
      <c r="E279" s="216"/>
      <c r="F279" s="216"/>
      <c r="G279" s="222"/>
      <c r="H279" s="216"/>
      <c r="I279" s="216"/>
      <c r="J279" s="216"/>
      <c r="K279" s="222"/>
    </row>
    <row r="280" spans="1:11" ht="12.75" customHeight="1" x14ac:dyDescent="0.25">
      <c r="A280" s="222"/>
      <c r="B280" s="222"/>
      <c r="C280" s="216"/>
      <c r="D280" s="216"/>
      <c r="E280" s="216"/>
      <c r="F280" s="216"/>
      <c r="G280" s="222"/>
      <c r="H280" s="216"/>
      <c r="I280" s="216"/>
      <c r="J280" s="216"/>
      <c r="K280" s="222"/>
    </row>
    <row r="281" spans="1:11" ht="12.75" customHeight="1" x14ac:dyDescent="0.25">
      <c r="A281" s="222"/>
      <c r="B281" s="222"/>
      <c r="C281" s="216"/>
      <c r="D281" s="216"/>
      <c r="E281" s="216"/>
      <c r="F281" s="216"/>
      <c r="G281" s="222"/>
      <c r="H281" s="216"/>
      <c r="I281" s="216"/>
      <c r="J281" s="216"/>
      <c r="K281" s="222"/>
    </row>
    <row r="282" spans="1:11" ht="12.75" customHeight="1" x14ac:dyDescent="0.25">
      <c r="A282" s="222"/>
      <c r="B282" s="222"/>
      <c r="C282" s="216"/>
      <c r="D282" s="216"/>
      <c r="E282" s="216"/>
      <c r="F282" s="216"/>
      <c r="G282" s="222"/>
      <c r="H282" s="216"/>
      <c r="I282" s="216"/>
      <c r="J282" s="216"/>
      <c r="K282" s="222"/>
    </row>
    <row r="283" spans="1:11" ht="12.75" customHeight="1" x14ac:dyDescent="0.25">
      <c r="A283" s="222"/>
      <c r="B283" s="222"/>
      <c r="C283" s="216"/>
      <c r="D283" s="216"/>
      <c r="E283" s="216"/>
      <c r="F283" s="216"/>
      <c r="G283" s="222"/>
      <c r="H283" s="216"/>
      <c r="I283" s="216"/>
      <c r="J283" s="216"/>
      <c r="K283" s="222"/>
    </row>
    <row r="284" spans="1:11" ht="12.75" customHeight="1" x14ac:dyDescent="0.25">
      <c r="A284" s="222"/>
      <c r="B284" s="222"/>
      <c r="C284" s="216"/>
      <c r="D284" s="216"/>
      <c r="E284" s="216"/>
      <c r="F284" s="216"/>
      <c r="G284" s="222"/>
      <c r="H284" s="216"/>
      <c r="I284" s="216"/>
      <c r="J284" s="216"/>
      <c r="K284" s="222"/>
    </row>
    <row r="285" spans="1:11" ht="12.75" customHeight="1" x14ac:dyDescent="0.25">
      <c r="A285" s="222"/>
      <c r="B285" s="222"/>
      <c r="C285" s="216"/>
      <c r="D285" s="216"/>
      <c r="E285" s="216"/>
      <c r="F285" s="216"/>
      <c r="G285" s="222"/>
      <c r="H285" s="216"/>
      <c r="I285" s="216"/>
      <c r="J285" s="216"/>
      <c r="K285" s="222"/>
    </row>
    <row r="286" spans="1:11" ht="12.75" customHeight="1" x14ac:dyDescent="0.25">
      <c r="A286" s="222"/>
      <c r="B286" s="222"/>
      <c r="C286" s="216"/>
      <c r="D286" s="216"/>
      <c r="E286" s="216"/>
      <c r="F286" s="216"/>
      <c r="G286" s="222"/>
      <c r="H286" s="216"/>
      <c r="I286" s="216"/>
      <c r="J286" s="216"/>
      <c r="K286" s="222"/>
    </row>
    <row r="287" spans="1:11" ht="12.75" customHeight="1" x14ac:dyDescent="0.25">
      <c r="A287" s="222"/>
      <c r="B287" s="222"/>
      <c r="C287" s="216"/>
      <c r="D287" s="216"/>
      <c r="E287" s="216"/>
      <c r="F287" s="216"/>
      <c r="G287" s="222"/>
      <c r="H287" s="216"/>
      <c r="I287" s="216"/>
      <c r="J287" s="216"/>
      <c r="K287" s="222"/>
    </row>
    <row r="288" spans="1:11" ht="12.75" customHeight="1" x14ac:dyDescent="0.25">
      <c r="A288" s="222"/>
      <c r="B288" s="222"/>
      <c r="C288" s="216"/>
      <c r="D288" s="216"/>
      <c r="E288" s="216"/>
      <c r="F288" s="216"/>
      <c r="G288" s="222"/>
      <c r="H288" s="216"/>
      <c r="I288" s="216"/>
      <c r="J288" s="216"/>
      <c r="K288" s="222"/>
    </row>
    <row r="289" spans="1:11" ht="12.75" customHeight="1" x14ac:dyDescent="0.25">
      <c r="A289" s="222"/>
      <c r="B289" s="222"/>
      <c r="C289" s="216"/>
      <c r="D289" s="216"/>
      <c r="E289" s="216"/>
      <c r="F289" s="216"/>
      <c r="G289" s="222"/>
      <c r="H289" s="216"/>
      <c r="I289" s="216"/>
      <c r="J289" s="216"/>
      <c r="K289" s="222"/>
    </row>
    <row r="290" spans="1:11" ht="12.75" customHeight="1" x14ac:dyDescent="0.25">
      <c r="A290" s="222"/>
      <c r="B290" s="222"/>
      <c r="C290" s="216"/>
      <c r="D290" s="216"/>
      <c r="E290" s="216"/>
      <c r="F290" s="216"/>
      <c r="G290" s="222"/>
      <c r="H290" s="216"/>
      <c r="I290" s="216"/>
      <c r="J290" s="216"/>
      <c r="K290" s="222"/>
    </row>
    <row r="291" spans="1:11" ht="12.75" customHeight="1" x14ac:dyDescent="0.25">
      <c r="A291" s="222"/>
      <c r="B291" s="222"/>
      <c r="C291" s="216"/>
      <c r="D291" s="216"/>
      <c r="E291" s="216"/>
      <c r="F291" s="216"/>
      <c r="G291" s="222"/>
      <c r="H291" s="216"/>
      <c r="I291" s="216"/>
      <c r="J291" s="216"/>
      <c r="K291" s="222"/>
    </row>
    <row r="292" spans="1:11" ht="12.75" customHeight="1" x14ac:dyDescent="0.25">
      <c r="A292" s="222"/>
      <c r="B292" s="222"/>
      <c r="C292" s="216"/>
      <c r="D292" s="216"/>
      <c r="E292" s="216"/>
      <c r="F292" s="216"/>
      <c r="G292" s="222"/>
      <c r="H292" s="216"/>
      <c r="I292" s="216"/>
      <c r="J292" s="216"/>
      <c r="K292" s="222"/>
    </row>
    <row r="293" spans="1:11" ht="12.75" customHeight="1" x14ac:dyDescent="0.25">
      <c r="A293" s="222"/>
      <c r="B293" s="222"/>
      <c r="C293" s="216"/>
      <c r="D293" s="216"/>
      <c r="E293" s="216"/>
      <c r="F293" s="216"/>
      <c r="G293" s="222"/>
      <c r="H293" s="216"/>
      <c r="I293" s="216"/>
      <c r="J293" s="216"/>
      <c r="K293" s="222"/>
    </row>
    <row r="294" spans="1:11" ht="12.75" customHeight="1" x14ac:dyDescent="0.25">
      <c r="A294" s="222"/>
      <c r="B294" s="222"/>
      <c r="C294" s="216"/>
      <c r="D294" s="216"/>
      <c r="E294" s="216"/>
      <c r="F294" s="216"/>
      <c r="G294" s="222"/>
      <c r="H294" s="216"/>
      <c r="I294" s="216"/>
      <c r="J294" s="216"/>
      <c r="K294" s="222"/>
    </row>
    <row r="295" spans="1:11" ht="12.75" customHeight="1" x14ac:dyDescent="0.25">
      <c r="A295" s="222"/>
      <c r="B295" s="222"/>
      <c r="C295" s="216"/>
      <c r="D295" s="216"/>
      <c r="E295" s="216"/>
      <c r="F295" s="216"/>
      <c r="G295" s="222"/>
      <c r="H295" s="216"/>
      <c r="I295" s="216"/>
      <c r="J295" s="216"/>
      <c r="K295" s="222"/>
    </row>
    <row r="296" spans="1:11" ht="12.75" customHeight="1" x14ac:dyDescent="0.25">
      <c r="A296" s="222"/>
      <c r="B296" s="222"/>
      <c r="C296" s="216"/>
      <c r="D296" s="216"/>
      <c r="E296" s="216"/>
      <c r="F296" s="216"/>
      <c r="G296" s="222"/>
      <c r="H296" s="216"/>
      <c r="I296" s="216"/>
      <c r="J296" s="216"/>
      <c r="K296" s="222"/>
    </row>
    <row r="297" spans="1:11" ht="12.75" customHeight="1" x14ac:dyDescent="0.25">
      <c r="A297" s="222"/>
      <c r="B297" s="222"/>
      <c r="C297" s="216"/>
      <c r="D297" s="216"/>
      <c r="E297" s="216"/>
      <c r="F297" s="216"/>
      <c r="G297" s="222"/>
      <c r="H297" s="216"/>
      <c r="I297" s="216"/>
      <c r="J297" s="216"/>
      <c r="K297" s="222"/>
    </row>
    <row r="298" spans="1:11" ht="12.75" customHeight="1" x14ac:dyDescent="0.25">
      <c r="A298" s="222"/>
      <c r="B298" s="222"/>
      <c r="C298" s="216"/>
      <c r="D298" s="216"/>
      <c r="E298" s="216"/>
      <c r="F298" s="216"/>
      <c r="G298" s="222"/>
      <c r="H298" s="216"/>
      <c r="I298" s="216"/>
      <c r="J298" s="216"/>
      <c r="K298" s="222"/>
    </row>
    <row r="299" spans="1:11" ht="12.75" customHeight="1" x14ac:dyDescent="0.25">
      <c r="A299" s="222"/>
      <c r="B299" s="222"/>
      <c r="C299" s="216"/>
      <c r="D299" s="216"/>
      <c r="E299" s="216"/>
      <c r="F299" s="216"/>
      <c r="G299" s="222"/>
      <c r="H299" s="216"/>
      <c r="I299" s="216"/>
      <c r="J299" s="216"/>
      <c r="K299" s="222"/>
    </row>
    <row r="300" spans="1:11" ht="12.75" customHeight="1" x14ac:dyDescent="0.25">
      <c r="A300" s="222"/>
      <c r="B300" s="222"/>
      <c r="C300" s="216"/>
      <c r="D300" s="216"/>
      <c r="E300" s="216"/>
      <c r="F300" s="216"/>
      <c r="G300" s="222"/>
      <c r="H300" s="216"/>
      <c r="I300" s="216"/>
      <c r="J300" s="216"/>
      <c r="K300" s="222"/>
    </row>
    <row r="301" spans="1:11" ht="12.75" customHeight="1" x14ac:dyDescent="0.25">
      <c r="A301" s="222"/>
      <c r="B301" s="222"/>
      <c r="C301" s="216"/>
      <c r="D301" s="216"/>
      <c r="E301" s="216"/>
      <c r="F301" s="216"/>
      <c r="G301" s="222"/>
      <c r="H301" s="216"/>
      <c r="I301" s="216"/>
      <c r="J301" s="216"/>
      <c r="K301" s="222"/>
    </row>
    <row r="302" spans="1:11" ht="12.75" customHeight="1" x14ac:dyDescent="0.25">
      <c r="A302" s="222"/>
      <c r="B302" s="222"/>
      <c r="C302" s="216"/>
      <c r="D302" s="216"/>
      <c r="E302" s="216"/>
      <c r="F302" s="216"/>
      <c r="G302" s="222"/>
      <c r="H302" s="216"/>
      <c r="I302" s="216"/>
      <c r="J302" s="216"/>
      <c r="K302" s="222"/>
    </row>
    <row r="303" spans="1:11" ht="12.75" customHeight="1" x14ac:dyDescent="0.25">
      <c r="A303" s="222"/>
      <c r="B303" s="222"/>
      <c r="C303" s="216"/>
      <c r="D303" s="216"/>
      <c r="E303" s="216"/>
      <c r="F303" s="216"/>
      <c r="G303" s="222"/>
      <c r="H303" s="216"/>
      <c r="I303" s="216"/>
      <c r="J303" s="216"/>
      <c r="K303" s="222"/>
    </row>
    <row r="304" spans="1:11" ht="12.75" customHeight="1" x14ac:dyDescent="0.25">
      <c r="A304" s="222"/>
      <c r="B304" s="222"/>
      <c r="C304" s="216"/>
      <c r="D304" s="216"/>
      <c r="E304" s="216"/>
      <c r="F304" s="216"/>
      <c r="G304" s="222"/>
      <c r="H304" s="216"/>
      <c r="I304" s="216"/>
      <c r="J304" s="216"/>
      <c r="K304" s="222"/>
    </row>
    <row r="305" spans="1:11" ht="12.75" customHeight="1" x14ac:dyDescent="0.25">
      <c r="A305" s="222"/>
      <c r="B305" s="222"/>
      <c r="C305" s="216"/>
      <c r="D305" s="216"/>
      <c r="E305" s="216"/>
      <c r="F305" s="216"/>
      <c r="G305" s="222"/>
      <c r="H305" s="216"/>
      <c r="I305" s="216"/>
      <c r="J305" s="216"/>
      <c r="K305" s="222"/>
    </row>
    <row r="306" spans="1:11" ht="12.75" customHeight="1" x14ac:dyDescent="0.25">
      <c r="A306" s="222"/>
      <c r="B306" s="222"/>
      <c r="C306" s="216"/>
      <c r="D306" s="216"/>
      <c r="E306" s="216"/>
      <c r="F306" s="216"/>
      <c r="G306" s="222"/>
      <c r="H306" s="216"/>
      <c r="I306" s="216"/>
      <c r="J306" s="216"/>
      <c r="K306" s="222"/>
    </row>
    <row r="307" spans="1:11" ht="12.75" customHeight="1" x14ac:dyDescent="0.25">
      <c r="A307" s="222"/>
      <c r="B307" s="222"/>
      <c r="C307" s="216"/>
      <c r="D307" s="216"/>
      <c r="E307" s="216"/>
      <c r="F307" s="216"/>
      <c r="G307" s="222"/>
      <c r="H307" s="216"/>
      <c r="I307" s="216"/>
      <c r="J307" s="216"/>
      <c r="K307" s="222"/>
    </row>
    <row r="308" spans="1:11" ht="12.75" customHeight="1" x14ac:dyDescent="0.25">
      <c r="A308" s="222"/>
      <c r="B308" s="222"/>
      <c r="C308" s="216"/>
      <c r="D308" s="216"/>
      <c r="E308" s="216"/>
      <c r="F308" s="216"/>
      <c r="G308" s="222"/>
      <c r="H308" s="216"/>
      <c r="I308" s="216"/>
      <c r="J308" s="216"/>
      <c r="K308" s="222"/>
    </row>
    <row r="309" spans="1:11" ht="12.75" customHeight="1" x14ac:dyDescent="0.25">
      <c r="A309" s="222"/>
      <c r="B309" s="222"/>
      <c r="C309" s="216"/>
      <c r="D309" s="216"/>
      <c r="E309" s="216"/>
      <c r="F309" s="216"/>
      <c r="G309" s="222"/>
      <c r="H309" s="216"/>
      <c r="I309" s="216"/>
      <c r="J309" s="216"/>
      <c r="K309" s="222"/>
    </row>
    <row r="310" spans="1:11" ht="12.75" customHeight="1" x14ac:dyDescent="0.25">
      <c r="A310" s="222"/>
      <c r="B310" s="222"/>
      <c r="C310" s="216"/>
      <c r="D310" s="216"/>
      <c r="E310" s="216"/>
      <c r="F310" s="216"/>
      <c r="G310" s="222"/>
      <c r="H310" s="216"/>
      <c r="I310" s="216"/>
      <c r="J310" s="216"/>
      <c r="K310" s="222"/>
    </row>
    <row r="311" spans="1:11" ht="12.75" customHeight="1" x14ac:dyDescent="0.25">
      <c r="A311" s="222"/>
      <c r="B311" s="222"/>
      <c r="C311" s="216"/>
      <c r="D311" s="216"/>
      <c r="E311" s="216"/>
      <c r="F311" s="216"/>
      <c r="G311" s="222"/>
      <c r="H311" s="216"/>
      <c r="I311" s="216"/>
      <c r="J311" s="216"/>
      <c r="K311" s="222"/>
    </row>
    <row r="312" spans="1:11" ht="12.75" customHeight="1" x14ac:dyDescent="0.25">
      <c r="A312" s="222"/>
      <c r="B312" s="222"/>
      <c r="C312" s="216"/>
      <c r="D312" s="216"/>
      <c r="E312" s="216"/>
      <c r="F312" s="216"/>
      <c r="G312" s="222"/>
      <c r="H312" s="216"/>
      <c r="I312" s="216"/>
      <c r="J312" s="216"/>
      <c r="K312" s="222"/>
    </row>
    <row r="313" spans="1:11" ht="12.75" customHeight="1" x14ac:dyDescent="0.25">
      <c r="A313" s="222"/>
      <c r="B313" s="222"/>
      <c r="C313" s="216"/>
      <c r="D313" s="216"/>
      <c r="E313" s="216"/>
      <c r="F313" s="216"/>
      <c r="G313" s="222"/>
      <c r="H313" s="216"/>
      <c r="I313" s="216"/>
      <c r="J313" s="216"/>
      <c r="K313" s="222"/>
    </row>
    <row r="314" spans="1:11" ht="12.75" customHeight="1" x14ac:dyDescent="0.25">
      <c r="A314" s="222"/>
      <c r="B314" s="222"/>
      <c r="C314" s="216"/>
      <c r="D314" s="216"/>
      <c r="E314" s="216"/>
      <c r="F314" s="216"/>
      <c r="G314" s="222"/>
      <c r="H314" s="216"/>
      <c r="I314" s="216"/>
      <c r="J314" s="216"/>
      <c r="K314" s="222"/>
    </row>
    <row r="315" spans="1:11" ht="12.75" customHeight="1" x14ac:dyDescent="0.25">
      <c r="A315" s="222"/>
      <c r="B315" s="222"/>
      <c r="C315" s="216"/>
      <c r="D315" s="216"/>
      <c r="E315" s="216"/>
      <c r="F315" s="216"/>
      <c r="G315" s="222"/>
      <c r="H315" s="216"/>
      <c r="I315" s="216"/>
      <c r="J315" s="216"/>
      <c r="K315" s="222"/>
    </row>
    <row r="316" spans="1:11" ht="12.75" customHeight="1" x14ac:dyDescent="0.25">
      <c r="A316" s="222"/>
      <c r="B316" s="222"/>
      <c r="C316" s="216"/>
      <c r="D316" s="216"/>
      <c r="E316" s="216"/>
      <c r="F316" s="216"/>
      <c r="G316" s="222"/>
      <c r="H316" s="216"/>
      <c r="I316" s="216"/>
      <c r="J316" s="216"/>
      <c r="K316" s="222"/>
    </row>
    <row r="317" spans="1:11" ht="12.75" customHeight="1" x14ac:dyDescent="0.25">
      <c r="A317" s="222"/>
      <c r="B317" s="222"/>
      <c r="C317" s="216"/>
      <c r="D317" s="216"/>
      <c r="E317" s="216"/>
      <c r="F317" s="216"/>
      <c r="G317" s="222"/>
      <c r="H317" s="216"/>
      <c r="I317" s="216"/>
      <c r="J317" s="216"/>
      <c r="K317" s="222"/>
    </row>
    <row r="318" spans="1:11" ht="12.75" customHeight="1" x14ac:dyDescent="0.25">
      <c r="A318" s="222"/>
      <c r="B318" s="222"/>
      <c r="C318" s="216"/>
      <c r="D318" s="216"/>
      <c r="E318" s="216"/>
      <c r="F318" s="216"/>
      <c r="G318" s="222"/>
      <c r="H318" s="216"/>
      <c r="I318" s="216"/>
      <c r="J318" s="216"/>
      <c r="K318" s="222"/>
    </row>
    <row r="319" spans="1:11" ht="12.75" customHeight="1" x14ac:dyDescent="0.25">
      <c r="A319" s="222"/>
      <c r="B319" s="222"/>
      <c r="C319" s="216"/>
      <c r="D319" s="216"/>
      <c r="E319" s="216"/>
      <c r="F319" s="216"/>
      <c r="G319" s="222"/>
      <c r="H319" s="216"/>
      <c r="I319" s="216"/>
      <c r="J319" s="216"/>
      <c r="K319" s="222"/>
    </row>
    <row r="320" spans="1:11" ht="12.75" customHeight="1" x14ac:dyDescent="0.25">
      <c r="A320" s="222"/>
      <c r="B320" s="222"/>
      <c r="C320" s="216"/>
      <c r="D320" s="216"/>
      <c r="E320" s="216"/>
      <c r="F320" s="216"/>
      <c r="G320" s="222"/>
      <c r="H320" s="216"/>
      <c r="I320" s="216"/>
      <c r="J320" s="216"/>
      <c r="K320" s="222"/>
    </row>
    <row r="321" spans="1:11" ht="12.75" customHeight="1" x14ac:dyDescent="0.25">
      <c r="A321" s="222"/>
      <c r="B321" s="222"/>
      <c r="C321" s="216"/>
      <c r="D321" s="216"/>
      <c r="E321" s="216"/>
      <c r="F321" s="216"/>
      <c r="G321" s="222"/>
      <c r="H321" s="216"/>
      <c r="I321" s="216"/>
      <c r="J321" s="216"/>
      <c r="K321" s="222"/>
    </row>
    <row r="322" spans="1:11" ht="12.75" customHeight="1" x14ac:dyDescent="0.25">
      <c r="A322" s="222"/>
      <c r="B322" s="222"/>
      <c r="C322" s="216"/>
      <c r="D322" s="216"/>
      <c r="E322" s="216"/>
      <c r="F322" s="216"/>
      <c r="G322" s="222"/>
      <c r="H322" s="216"/>
      <c r="I322" s="216"/>
      <c r="J322" s="216"/>
      <c r="K322" s="222"/>
    </row>
    <row r="323" spans="1:11" ht="12.75" customHeight="1" x14ac:dyDescent="0.25">
      <c r="A323" s="222"/>
      <c r="B323" s="222"/>
      <c r="C323" s="216"/>
      <c r="D323" s="216"/>
      <c r="E323" s="216"/>
      <c r="F323" s="216"/>
      <c r="G323" s="222"/>
      <c r="H323" s="216"/>
      <c r="I323" s="216"/>
      <c r="J323" s="216"/>
      <c r="K323" s="222"/>
    </row>
    <row r="324" spans="1:11" ht="12.75" customHeight="1" x14ac:dyDescent="0.25">
      <c r="A324" s="222"/>
      <c r="B324" s="222"/>
      <c r="C324" s="216"/>
      <c r="D324" s="216"/>
      <c r="E324" s="216"/>
      <c r="F324" s="216"/>
      <c r="G324" s="222"/>
      <c r="H324" s="216"/>
      <c r="I324" s="216"/>
      <c r="J324" s="216"/>
      <c r="K324" s="222"/>
    </row>
    <row r="325" spans="1:11" ht="12.75" customHeight="1" x14ac:dyDescent="0.25">
      <c r="A325" s="222"/>
      <c r="B325" s="222"/>
      <c r="C325" s="216"/>
      <c r="D325" s="216"/>
      <c r="E325" s="216"/>
      <c r="F325" s="216"/>
      <c r="G325" s="222"/>
      <c r="H325" s="216"/>
      <c r="I325" s="216"/>
      <c r="J325" s="216"/>
      <c r="K325" s="222"/>
    </row>
    <row r="326" spans="1:11" ht="12.75" customHeight="1" x14ac:dyDescent="0.25">
      <c r="A326" s="222"/>
      <c r="B326" s="222"/>
      <c r="C326" s="216"/>
      <c r="D326" s="216"/>
      <c r="E326" s="216"/>
      <c r="F326" s="216"/>
      <c r="G326" s="222"/>
      <c r="H326" s="216"/>
      <c r="I326" s="216"/>
      <c r="J326" s="216"/>
      <c r="K326" s="222"/>
    </row>
    <row r="327" spans="1:11" ht="12.75" customHeight="1" x14ac:dyDescent="0.25">
      <c r="A327" s="222"/>
      <c r="B327" s="222"/>
      <c r="C327" s="216"/>
      <c r="D327" s="216"/>
      <c r="E327" s="216"/>
      <c r="F327" s="216"/>
      <c r="G327" s="222"/>
      <c r="H327" s="216"/>
      <c r="I327" s="216"/>
      <c r="J327" s="216"/>
      <c r="K327" s="222"/>
    </row>
    <row r="328" spans="1:11" ht="12.75" customHeight="1" x14ac:dyDescent="0.25">
      <c r="A328" s="222"/>
      <c r="B328" s="222"/>
      <c r="C328" s="216"/>
      <c r="D328" s="216"/>
      <c r="E328" s="216"/>
      <c r="F328" s="216"/>
      <c r="G328" s="222"/>
      <c r="H328" s="216"/>
      <c r="I328" s="216"/>
      <c r="J328" s="216"/>
      <c r="K328" s="222"/>
    </row>
    <row r="329" spans="1:11" ht="12.75" customHeight="1" x14ac:dyDescent="0.25">
      <c r="A329" s="222"/>
      <c r="B329" s="222"/>
      <c r="C329" s="216"/>
      <c r="D329" s="216"/>
      <c r="E329" s="216"/>
      <c r="F329" s="216"/>
      <c r="G329" s="222"/>
      <c r="H329" s="216"/>
      <c r="I329" s="216"/>
      <c r="J329" s="216"/>
      <c r="K329" s="222"/>
    </row>
    <row r="330" spans="1:11" ht="12.75" customHeight="1" x14ac:dyDescent="0.25">
      <c r="A330" s="222"/>
      <c r="B330" s="222"/>
      <c r="C330" s="216"/>
      <c r="D330" s="216"/>
      <c r="E330" s="216"/>
      <c r="F330" s="216"/>
      <c r="G330" s="222"/>
      <c r="H330" s="216"/>
      <c r="I330" s="216"/>
      <c r="J330" s="216"/>
      <c r="K330" s="222"/>
    </row>
    <row r="331" spans="1:11" ht="12.75" customHeight="1" x14ac:dyDescent="0.25">
      <c r="A331" s="222"/>
      <c r="B331" s="222"/>
      <c r="C331" s="216"/>
      <c r="D331" s="216"/>
      <c r="E331" s="216"/>
      <c r="F331" s="216"/>
      <c r="G331" s="222"/>
      <c r="H331" s="216"/>
      <c r="I331" s="216"/>
      <c r="J331" s="216"/>
      <c r="K331" s="222"/>
    </row>
    <row r="332" spans="1:11" ht="12.75" customHeight="1" x14ac:dyDescent="0.25">
      <c r="A332" s="222"/>
      <c r="B332" s="222"/>
      <c r="C332" s="216"/>
      <c r="D332" s="216"/>
      <c r="E332" s="216"/>
      <c r="F332" s="216"/>
      <c r="G332" s="222"/>
      <c r="H332" s="216"/>
      <c r="I332" s="216"/>
      <c r="J332" s="216"/>
      <c r="K332" s="222"/>
    </row>
    <row r="333" spans="1:11" ht="12.75" customHeight="1" x14ac:dyDescent="0.25">
      <c r="A333" s="222"/>
      <c r="B333" s="222"/>
      <c r="C333" s="216"/>
      <c r="D333" s="216"/>
      <c r="E333" s="216"/>
      <c r="F333" s="216"/>
      <c r="G333" s="222"/>
      <c r="H333" s="216"/>
      <c r="I333" s="216"/>
      <c r="J333" s="216"/>
      <c r="K333" s="222"/>
    </row>
    <row r="334" spans="1:11" ht="12.75" customHeight="1" x14ac:dyDescent="0.25">
      <c r="A334" s="222"/>
      <c r="B334" s="222"/>
      <c r="C334" s="216"/>
      <c r="D334" s="216"/>
      <c r="E334" s="216"/>
      <c r="F334" s="216"/>
      <c r="G334" s="222"/>
      <c r="H334" s="216"/>
      <c r="I334" s="216"/>
      <c r="J334" s="216"/>
      <c r="K334" s="222"/>
    </row>
    <row r="335" spans="1:11" ht="12.75" customHeight="1" x14ac:dyDescent="0.25">
      <c r="A335" s="222"/>
      <c r="B335" s="222"/>
      <c r="C335" s="216"/>
      <c r="D335" s="216"/>
      <c r="E335" s="216"/>
      <c r="F335" s="216"/>
      <c r="G335" s="222"/>
      <c r="H335" s="216"/>
      <c r="I335" s="216"/>
      <c r="J335" s="216"/>
      <c r="K335" s="222"/>
    </row>
    <row r="336" spans="1:11" ht="12.75" customHeight="1" x14ac:dyDescent="0.25">
      <c r="A336" s="222"/>
      <c r="B336" s="222"/>
      <c r="C336" s="216"/>
      <c r="D336" s="216"/>
      <c r="E336" s="216"/>
      <c r="F336" s="216"/>
      <c r="G336" s="222"/>
      <c r="H336" s="216"/>
      <c r="I336" s="216"/>
      <c r="J336" s="216"/>
      <c r="K336" s="222"/>
    </row>
    <row r="337" spans="1:11" ht="12.75" customHeight="1" x14ac:dyDescent="0.25">
      <c r="A337" s="222"/>
      <c r="B337" s="222"/>
      <c r="C337" s="216"/>
      <c r="D337" s="216"/>
      <c r="E337" s="216"/>
      <c r="F337" s="216"/>
      <c r="G337" s="222"/>
      <c r="H337" s="216"/>
      <c r="I337" s="216"/>
      <c r="J337" s="216"/>
      <c r="K337" s="222"/>
    </row>
    <row r="338" spans="1:11" ht="12.75" customHeight="1" x14ac:dyDescent="0.25">
      <c r="A338" s="222"/>
      <c r="B338" s="222"/>
      <c r="C338" s="216"/>
      <c r="D338" s="216"/>
      <c r="E338" s="216"/>
      <c r="F338" s="216"/>
      <c r="G338" s="222"/>
      <c r="H338" s="216"/>
      <c r="I338" s="216"/>
      <c r="J338" s="216"/>
      <c r="K338" s="222"/>
    </row>
    <row r="339" spans="1:11" ht="12.75" customHeight="1" x14ac:dyDescent="0.25">
      <c r="A339" s="222"/>
      <c r="B339" s="222"/>
      <c r="C339" s="216"/>
      <c r="D339" s="216"/>
      <c r="E339" s="216"/>
      <c r="F339" s="216"/>
      <c r="G339" s="222"/>
      <c r="H339" s="216"/>
      <c r="I339" s="216"/>
      <c r="J339" s="216"/>
      <c r="K339" s="222"/>
    </row>
    <row r="340" spans="1:11" ht="12.75" customHeight="1" x14ac:dyDescent="0.25">
      <c r="A340" s="222"/>
      <c r="B340" s="222"/>
      <c r="C340" s="216"/>
      <c r="D340" s="216"/>
      <c r="E340" s="216"/>
      <c r="F340" s="216"/>
      <c r="G340" s="222"/>
      <c r="H340" s="216"/>
      <c r="I340" s="216"/>
      <c r="J340" s="216"/>
      <c r="K340" s="222"/>
    </row>
    <row r="341" spans="1:11" ht="12.75" customHeight="1" x14ac:dyDescent="0.25">
      <c r="A341" s="222"/>
      <c r="B341" s="222"/>
      <c r="C341" s="216"/>
      <c r="D341" s="216"/>
      <c r="E341" s="216"/>
      <c r="F341" s="216"/>
      <c r="G341" s="222"/>
      <c r="H341" s="216"/>
      <c r="I341" s="216"/>
      <c r="J341" s="216"/>
      <c r="K341" s="222"/>
    </row>
    <row r="342" spans="1:11" ht="12.75" customHeight="1" x14ac:dyDescent="0.25">
      <c r="A342" s="222"/>
      <c r="B342" s="222"/>
      <c r="C342" s="216"/>
      <c r="D342" s="216"/>
      <c r="E342" s="216"/>
      <c r="F342" s="216"/>
      <c r="G342" s="222"/>
      <c r="H342" s="216"/>
      <c r="I342" s="216"/>
      <c r="J342" s="216"/>
      <c r="K342" s="222"/>
    </row>
    <row r="343" spans="1:11" ht="12.75" customHeight="1" x14ac:dyDescent="0.25">
      <c r="A343" s="222"/>
      <c r="B343" s="222"/>
      <c r="C343" s="216"/>
      <c r="D343" s="216"/>
      <c r="E343" s="216"/>
      <c r="F343" s="216"/>
      <c r="G343" s="222"/>
      <c r="H343" s="216"/>
      <c r="I343" s="216"/>
      <c r="J343" s="216"/>
      <c r="K343" s="222"/>
    </row>
    <row r="344" spans="1:11" ht="12.75" customHeight="1" x14ac:dyDescent="0.25">
      <c r="A344" s="222"/>
      <c r="B344" s="222"/>
      <c r="C344" s="216"/>
      <c r="D344" s="216"/>
      <c r="E344" s="216"/>
      <c r="F344" s="216"/>
      <c r="G344" s="222"/>
      <c r="H344" s="216"/>
      <c r="I344" s="216"/>
      <c r="J344" s="216"/>
      <c r="K344" s="222"/>
    </row>
    <row r="345" spans="1:11" ht="12.75" customHeight="1" x14ac:dyDescent="0.25">
      <c r="A345" s="222"/>
      <c r="B345" s="222"/>
      <c r="C345" s="216"/>
      <c r="D345" s="216"/>
      <c r="E345" s="216"/>
      <c r="F345" s="216"/>
      <c r="G345" s="222"/>
      <c r="H345" s="216"/>
      <c r="I345" s="216"/>
      <c r="J345" s="216"/>
      <c r="K345" s="222"/>
    </row>
    <row r="346" spans="1:11" ht="12.75" customHeight="1" x14ac:dyDescent="0.25">
      <c r="A346" s="222"/>
      <c r="B346" s="222"/>
      <c r="C346" s="216"/>
      <c r="D346" s="216"/>
      <c r="E346" s="216"/>
      <c r="F346" s="216"/>
      <c r="G346" s="222"/>
      <c r="H346" s="216"/>
      <c r="I346" s="216"/>
      <c r="J346" s="216"/>
      <c r="K346" s="222"/>
    </row>
    <row r="347" spans="1:11" ht="12.75" customHeight="1" x14ac:dyDescent="0.25">
      <c r="A347" s="222"/>
      <c r="B347" s="222"/>
      <c r="C347" s="216"/>
      <c r="D347" s="216"/>
      <c r="E347" s="216"/>
      <c r="F347" s="216"/>
      <c r="G347" s="222"/>
      <c r="H347" s="216"/>
      <c r="I347" s="216"/>
      <c r="J347" s="216"/>
      <c r="K347" s="222"/>
    </row>
    <row r="348" spans="1:11" ht="12.75" customHeight="1" x14ac:dyDescent="0.25">
      <c r="A348" s="222"/>
      <c r="B348" s="222"/>
      <c r="C348" s="216"/>
      <c r="D348" s="216"/>
      <c r="E348" s="216"/>
      <c r="F348" s="216"/>
      <c r="G348" s="222"/>
      <c r="H348" s="216"/>
      <c r="I348" s="216"/>
      <c r="J348" s="216"/>
      <c r="K348" s="222"/>
    </row>
    <row r="349" spans="1:11" ht="12.75" customHeight="1" x14ac:dyDescent="0.25">
      <c r="A349" s="222"/>
      <c r="B349" s="222"/>
      <c r="C349" s="216"/>
      <c r="D349" s="216"/>
      <c r="E349" s="216"/>
      <c r="F349" s="216"/>
      <c r="G349" s="222"/>
      <c r="H349" s="216"/>
      <c r="I349" s="216"/>
      <c r="J349" s="216"/>
      <c r="K349" s="222"/>
    </row>
    <row r="350" spans="1:11" ht="12.75" customHeight="1" x14ac:dyDescent="0.25">
      <c r="A350" s="222"/>
      <c r="B350" s="222"/>
      <c r="C350" s="216"/>
      <c r="D350" s="216"/>
      <c r="E350" s="216"/>
      <c r="F350" s="216"/>
      <c r="G350" s="222"/>
      <c r="H350" s="216"/>
      <c r="I350" s="216"/>
      <c r="J350" s="216"/>
      <c r="K350" s="222"/>
    </row>
    <row r="351" spans="1:11" ht="12.75" customHeight="1" x14ac:dyDescent="0.25">
      <c r="A351" s="222"/>
      <c r="B351" s="222"/>
      <c r="C351" s="216"/>
      <c r="D351" s="216"/>
      <c r="E351" s="216"/>
      <c r="F351" s="216"/>
      <c r="G351" s="222"/>
      <c r="H351" s="216"/>
      <c r="I351" s="216"/>
      <c r="J351" s="216"/>
      <c r="K351" s="222"/>
    </row>
    <row r="352" spans="1:11" ht="12.75" customHeight="1" x14ac:dyDescent="0.25">
      <c r="A352" s="222"/>
      <c r="B352" s="222"/>
      <c r="C352" s="216"/>
      <c r="D352" s="216"/>
      <c r="E352" s="216"/>
      <c r="F352" s="216"/>
      <c r="G352" s="222"/>
      <c r="H352" s="216"/>
      <c r="I352" s="216"/>
      <c r="J352" s="216"/>
      <c r="K352" s="222"/>
    </row>
    <row r="353" spans="1:11" ht="12.75" customHeight="1" x14ac:dyDescent="0.25">
      <c r="A353" s="222"/>
      <c r="B353" s="222"/>
      <c r="C353" s="216"/>
      <c r="D353" s="216"/>
      <c r="E353" s="216"/>
      <c r="F353" s="216"/>
      <c r="G353" s="222"/>
      <c r="H353" s="216"/>
      <c r="I353" s="216"/>
      <c r="J353" s="216"/>
      <c r="K353" s="222"/>
    </row>
    <row r="354" spans="1:11" ht="12.75" customHeight="1" x14ac:dyDescent="0.25">
      <c r="A354" s="222"/>
      <c r="B354" s="222"/>
      <c r="C354" s="216"/>
      <c r="D354" s="216"/>
      <c r="E354" s="216"/>
      <c r="F354" s="216"/>
      <c r="G354" s="222"/>
      <c r="H354" s="216"/>
      <c r="I354" s="216"/>
      <c r="J354" s="216"/>
      <c r="K354" s="222"/>
    </row>
    <row r="355" spans="1:11" ht="12.75" customHeight="1" x14ac:dyDescent="0.25">
      <c r="A355" s="222"/>
      <c r="B355" s="222"/>
      <c r="C355" s="216"/>
      <c r="D355" s="216"/>
      <c r="E355" s="216"/>
      <c r="F355" s="216"/>
      <c r="G355" s="222"/>
      <c r="H355" s="216"/>
      <c r="I355" s="216"/>
      <c r="J355" s="216"/>
      <c r="K355" s="222"/>
    </row>
    <row r="356" spans="1:11" ht="12.75" customHeight="1" x14ac:dyDescent="0.25">
      <c r="A356" s="222"/>
      <c r="B356" s="222"/>
      <c r="C356" s="216"/>
      <c r="D356" s="216"/>
      <c r="E356" s="216"/>
      <c r="F356" s="216"/>
      <c r="G356" s="222"/>
      <c r="H356" s="216"/>
      <c r="I356" s="216"/>
      <c r="J356" s="216"/>
      <c r="K356" s="222"/>
    </row>
    <row r="357" spans="1:11" ht="12.75" customHeight="1" x14ac:dyDescent="0.25">
      <c r="A357" s="222"/>
      <c r="B357" s="222"/>
      <c r="C357" s="216"/>
      <c r="D357" s="216"/>
      <c r="E357" s="216"/>
      <c r="F357" s="216"/>
      <c r="G357" s="222"/>
      <c r="H357" s="216"/>
      <c r="I357" s="216"/>
      <c r="J357" s="216"/>
      <c r="K357" s="222"/>
    </row>
    <row r="358" spans="1:11" ht="12.75" customHeight="1" x14ac:dyDescent="0.25">
      <c r="A358" s="222"/>
      <c r="B358" s="222"/>
      <c r="C358" s="216"/>
      <c r="D358" s="216"/>
      <c r="E358" s="216"/>
      <c r="F358" s="216"/>
      <c r="G358" s="222"/>
      <c r="H358" s="216"/>
      <c r="I358" s="216"/>
      <c r="J358" s="216"/>
      <c r="K358" s="222"/>
    </row>
    <row r="359" spans="1:11" ht="12.75" customHeight="1" x14ac:dyDescent="0.25">
      <c r="A359" s="222"/>
      <c r="B359" s="222"/>
      <c r="C359" s="216"/>
      <c r="D359" s="216"/>
      <c r="E359" s="216"/>
      <c r="F359" s="216"/>
      <c r="G359" s="222"/>
      <c r="H359" s="216"/>
      <c r="I359" s="216"/>
      <c r="J359" s="216"/>
      <c r="K359" s="222"/>
    </row>
    <row r="360" spans="1:11" ht="12.75" customHeight="1" x14ac:dyDescent="0.25">
      <c r="A360" s="222"/>
      <c r="B360" s="222"/>
      <c r="C360" s="216"/>
      <c r="D360" s="216"/>
      <c r="E360" s="216"/>
      <c r="F360" s="216"/>
      <c r="G360" s="222"/>
      <c r="H360" s="216"/>
      <c r="I360" s="216"/>
      <c r="J360" s="216"/>
      <c r="K360" s="222"/>
    </row>
    <row r="361" spans="1:11" ht="12.75" customHeight="1" x14ac:dyDescent="0.25">
      <c r="A361" s="222"/>
      <c r="B361" s="222"/>
      <c r="C361" s="216"/>
      <c r="D361" s="216"/>
      <c r="E361" s="216"/>
      <c r="F361" s="216"/>
      <c r="G361" s="222"/>
      <c r="H361" s="216"/>
      <c r="I361" s="216"/>
      <c r="J361" s="216"/>
      <c r="K361" s="222"/>
    </row>
    <row r="362" spans="1:11" ht="12.75" customHeight="1" x14ac:dyDescent="0.25">
      <c r="A362" s="222"/>
      <c r="B362" s="222"/>
      <c r="C362" s="216"/>
      <c r="D362" s="216"/>
      <c r="E362" s="216"/>
      <c r="F362" s="216"/>
      <c r="G362" s="222"/>
      <c r="H362" s="216"/>
      <c r="I362" s="216"/>
      <c r="J362" s="216"/>
      <c r="K362" s="222"/>
    </row>
    <row r="363" spans="1:11" ht="12.75" customHeight="1" x14ac:dyDescent="0.25">
      <c r="A363" s="222"/>
      <c r="B363" s="222"/>
      <c r="C363" s="216"/>
      <c r="D363" s="216"/>
      <c r="E363" s="216"/>
      <c r="F363" s="216"/>
      <c r="G363" s="222"/>
      <c r="H363" s="216"/>
      <c r="I363" s="216"/>
      <c r="J363" s="216"/>
      <c r="K363" s="222"/>
    </row>
    <row r="364" spans="1:11" ht="12.75" customHeight="1" x14ac:dyDescent="0.25">
      <c r="A364" s="222"/>
      <c r="B364" s="222"/>
      <c r="C364" s="216"/>
      <c r="D364" s="216"/>
      <c r="E364" s="216"/>
      <c r="F364" s="216"/>
      <c r="G364" s="222"/>
      <c r="H364" s="216"/>
      <c r="I364" s="216"/>
      <c r="J364" s="216"/>
      <c r="K364" s="222"/>
    </row>
    <row r="365" spans="1:11" ht="12.75" customHeight="1" x14ac:dyDescent="0.25">
      <c r="A365" s="222"/>
      <c r="B365" s="222"/>
      <c r="C365" s="216"/>
      <c r="D365" s="216"/>
      <c r="E365" s="216"/>
      <c r="F365" s="216"/>
      <c r="G365" s="222"/>
      <c r="H365" s="216"/>
      <c r="I365" s="216"/>
      <c r="J365" s="216"/>
      <c r="K365" s="222"/>
    </row>
    <row r="366" spans="1:11" ht="12.75" customHeight="1" x14ac:dyDescent="0.25">
      <c r="A366" s="222"/>
      <c r="B366" s="222"/>
      <c r="C366" s="216"/>
      <c r="D366" s="216"/>
      <c r="E366" s="216"/>
      <c r="F366" s="216"/>
      <c r="G366" s="222"/>
      <c r="H366" s="216"/>
      <c r="I366" s="216"/>
      <c r="J366" s="216"/>
      <c r="K366" s="222"/>
    </row>
    <row r="367" spans="1:11" ht="12.75" customHeight="1" x14ac:dyDescent="0.25">
      <c r="A367" s="222"/>
      <c r="B367" s="222"/>
      <c r="C367" s="216"/>
      <c r="D367" s="216"/>
      <c r="E367" s="216"/>
      <c r="F367" s="216"/>
      <c r="G367" s="222"/>
      <c r="H367" s="216"/>
      <c r="I367" s="216"/>
      <c r="J367" s="216"/>
      <c r="K367" s="222"/>
    </row>
    <row r="368" spans="1:11" ht="12.75" customHeight="1" x14ac:dyDescent="0.25">
      <c r="A368" s="222"/>
      <c r="B368" s="222"/>
      <c r="C368" s="216"/>
      <c r="D368" s="216"/>
      <c r="E368" s="216"/>
      <c r="F368" s="216"/>
      <c r="G368" s="222"/>
      <c r="H368" s="216"/>
      <c r="I368" s="216"/>
      <c r="J368" s="216"/>
      <c r="K368" s="222"/>
    </row>
    <row r="369" spans="1:11" ht="12.75" customHeight="1" x14ac:dyDescent="0.25">
      <c r="A369" s="222"/>
      <c r="B369" s="222"/>
      <c r="C369" s="216"/>
      <c r="D369" s="216"/>
      <c r="E369" s="216"/>
      <c r="F369" s="216"/>
      <c r="G369" s="222"/>
      <c r="H369" s="216"/>
      <c r="I369" s="216"/>
      <c r="J369" s="216"/>
      <c r="K369" s="222"/>
    </row>
    <row r="370" spans="1:11" ht="12.75" customHeight="1" x14ac:dyDescent="0.25">
      <c r="A370" s="222"/>
      <c r="B370" s="222"/>
      <c r="C370" s="216"/>
      <c r="D370" s="216"/>
      <c r="E370" s="216"/>
      <c r="F370" s="216"/>
      <c r="G370" s="222"/>
      <c r="H370" s="216"/>
      <c r="I370" s="216"/>
      <c r="J370" s="216"/>
      <c r="K370" s="222"/>
    </row>
    <row r="371" spans="1:11" ht="12.75" customHeight="1" x14ac:dyDescent="0.25">
      <c r="A371" s="222"/>
      <c r="B371" s="222"/>
      <c r="C371" s="216"/>
      <c r="D371" s="216"/>
      <c r="E371" s="216"/>
      <c r="F371" s="216"/>
      <c r="G371" s="222"/>
      <c r="H371" s="216"/>
      <c r="I371" s="216"/>
      <c r="J371" s="216"/>
      <c r="K371" s="222"/>
    </row>
    <row r="372" spans="1:11" ht="12.75" customHeight="1" x14ac:dyDescent="0.25">
      <c r="A372" s="222"/>
      <c r="B372" s="222"/>
      <c r="C372" s="216"/>
      <c r="D372" s="216"/>
      <c r="E372" s="216"/>
      <c r="F372" s="216"/>
      <c r="G372" s="222"/>
      <c r="H372" s="216"/>
      <c r="I372" s="216"/>
      <c r="J372" s="216"/>
      <c r="K372" s="222"/>
    </row>
    <row r="373" spans="1:11" ht="12.75" customHeight="1" x14ac:dyDescent="0.25">
      <c r="A373" s="222"/>
      <c r="B373" s="222"/>
      <c r="C373" s="216"/>
      <c r="D373" s="216"/>
      <c r="E373" s="216"/>
      <c r="F373" s="216"/>
      <c r="G373" s="222"/>
      <c r="H373" s="216"/>
      <c r="I373" s="216"/>
      <c r="J373" s="216"/>
      <c r="K373" s="222"/>
    </row>
    <row r="374" spans="1:11" ht="12.75" customHeight="1" x14ac:dyDescent="0.25">
      <c r="A374" s="222"/>
      <c r="B374" s="222"/>
      <c r="C374" s="216"/>
      <c r="D374" s="216"/>
      <c r="E374" s="216"/>
      <c r="F374" s="216"/>
      <c r="G374" s="222"/>
      <c r="H374" s="216"/>
      <c r="I374" s="216"/>
      <c r="J374" s="216"/>
      <c r="K374" s="222"/>
    </row>
    <row r="375" spans="1:11" ht="12.75" customHeight="1" x14ac:dyDescent="0.25">
      <c r="A375" s="222"/>
      <c r="B375" s="222"/>
      <c r="C375" s="216"/>
      <c r="D375" s="216"/>
      <c r="E375" s="216"/>
      <c r="F375" s="216"/>
      <c r="G375" s="222"/>
      <c r="H375" s="216"/>
      <c r="I375" s="216"/>
      <c r="J375" s="216"/>
      <c r="K375" s="222"/>
    </row>
    <row r="376" spans="1:11" ht="12.75" customHeight="1" x14ac:dyDescent="0.25">
      <c r="A376" s="222"/>
      <c r="B376" s="222"/>
      <c r="C376" s="216"/>
      <c r="D376" s="216"/>
      <c r="E376" s="216"/>
      <c r="F376" s="216"/>
      <c r="G376" s="222"/>
      <c r="H376" s="216"/>
      <c r="I376" s="216"/>
      <c r="J376" s="216"/>
      <c r="K376" s="222"/>
    </row>
    <row r="377" spans="1:11" ht="12.75" customHeight="1" x14ac:dyDescent="0.25">
      <c r="A377" s="222"/>
      <c r="B377" s="222"/>
      <c r="C377" s="216"/>
      <c r="D377" s="216"/>
      <c r="E377" s="216"/>
      <c r="F377" s="216"/>
      <c r="G377" s="222"/>
      <c r="H377" s="216"/>
      <c r="I377" s="216"/>
      <c r="J377" s="216"/>
      <c r="K377" s="222"/>
    </row>
    <row r="378" spans="1:11" ht="12.75" customHeight="1" x14ac:dyDescent="0.25">
      <c r="A378" s="222"/>
      <c r="B378" s="222"/>
      <c r="C378" s="216"/>
      <c r="D378" s="216"/>
      <c r="E378" s="216"/>
      <c r="F378" s="216"/>
      <c r="G378" s="222"/>
      <c r="H378" s="216"/>
      <c r="I378" s="216"/>
      <c r="J378" s="216"/>
      <c r="K378" s="222"/>
    </row>
    <row r="379" spans="1:11" ht="12.75" customHeight="1" x14ac:dyDescent="0.25">
      <c r="A379" s="222"/>
      <c r="B379" s="222"/>
      <c r="C379" s="216"/>
      <c r="D379" s="216"/>
      <c r="E379" s="216"/>
      <c r="F379" s="216"/>
      <c r="G379" s="222"/>
      <c r="H379" s="216"/>
      <c r="I379" s="216"/>
      <c r="J379" s="216"/>
      <c r="K379" s="222"/>
    </row>
    <row r="380" spans="1:11" ht="12.75" customHeight="1" x14ac:dyDescent="0.25">
      <c r="A380" s="222"/>
      <c r="B380" s="222"/>
      <c r="C380" s="216"/>
      <c r="D380" s="216"/>
      <c r="E380" s="216"/>
      <c r="F380" s="216"/>
      <c r="G380" s="222"/>
      <c r="H380" s="216"/>
      <c r="I380" s="216"/>
      <c r="J380" s="216"/>
      <c r="K380" s="222"/>
    </row>
    <row r="381" spans="1:11" ht="12.75" customHeight="1" x14ac:dyDescent="0.25">
      <c r="A381" s="222"/>
      <c r="B381" s="222"/>
      <c r="C381" s="216"/>
      <c r="D381" s="216"/>
      <c r="E381" s="216"/>
      <c r="F381" s="216"/>
      <c r="G381" s="222"/>
      <c r="H381" s="216"/>
      <c r="I381" s="216"/>
      <c r="J381" s="216"/>
      <c r="K381" s="222"/>
    </row>
    <row r="382" spans="1:11" ht="12.75" customHeight="1" x14ac:dyDescent="0.25">
      <c r="A382" s="222"/>
      <c r="B382" s="222"/>
      <c r="C382" s="216"/>
      <c r="D382" s="216"/>
      <c r="E382" s="216"/>
      <c r="F382" s="216"/>
      <c r="G382" s="222"/>
      <c r="H382" s="216"/>
      <c r="I382" s="216"/>
      <c r="J382" s="216"/>
      <c r="K382" s="222"/>
    </row>
    <row r="383" spans="1:11" ht="12.75" customHeight="1" x14ac:dyDescent="0.25">
      <c r="A383" s="222"/>
      <c r="B383" s="222"/>
      <c r="C383" s="216"/>
      <c r="D383" s="216"/>
      <c r="E383" s="216"/>
      <c r="F383" s="216"/>
      <c r="G383" s="222"/>
      <c r="H383" s="216"/>
      <c r="I383" s="216"/>
      <c r="J383" s="216"/>
      <c r="K383" s="222"/>
    </row>
    <row r="384" spans="1:11" ht="12.75" customHeight="1" x14ac:dyDescent="0.25">
      <c r="A384" s="222"/>
      <c r="B384" s="222"/>
      <c r="C384" s="216"/>
      <c r="D384" s="216"/>
      <c r="E384" s="216"/>
      <c r="F384" s="216"/>
      <c r="G384" s="222"/>
      <c r="H384" s="216"/>
      <c r="I384" s="216"/>
      <c r="J384" s="216"/>
      <c r="K384" s="222"/>
    </row>
    <row r="385" spans="1:11" ht="12.75" customHeight="1" x14ac:dyDescent="0.25">
      <c r="A385" s="222"/>
      <c r="B385" s="222"/>
      <c r="C385" s="216"/>
      <c r="D385" s="216"/>
      <c r="E385" s="216"/>
      <c r="F385" s="216"/>
      <c r="G385" s="222"/>
      <c r="H385" s="216"/>
      <c r="I385" s="216"/>
      <c r="J385" s="216"/>
      <c r="K385" s="222"/>
    </row>
    <row r="386" spans="1:11" ht="12.75" customHeight="1" x14ac:dyDescent="0.25">
      <c r="A386" s="222"/>
      <c r="B386" s="222"/>
      <c r="C386" s="216"/>
      <c r="D386" s="216"/>
      <c r="E386" s="216"/>
      <c r="F386" s="216"/>
      <c r="G386" s="222"/>
      <c r="H386" s="216"/>
      <c r="I386" s="216"/>
      <c r="J386" s="216"/>
      <c r="K386" s="222"/>
    </row>
    <row r="387" spans="1:11" ht="12.75" customHeight="1" x14ac:dyDescent="0.25">
      <c r="A387" s="222"/>
      <c r="B387" s="222"/>
      <c r="C387" s="216"/>
      <c r="D387" s="216"/>
      <c r="E387" s="216"/>
      <c r="F387" s="216"/>
      <c r="G387" s="222"/>
      <c r="H387" s="216"/>
      <c r="I387" s="216"/>
      <c r="J387" s="216"/>
      <c r="K387" s="222"/>
    </row>
    <row r="388" spans="1:11" ht="12.75" customHeight="1" x14ac:dyDescent="0.25">
      <c r="A388" s="222"/>
      <c r="B388" s="222"/>
      <c r="C388" s="216"/>
      <c r="D388" s="216"/>
      <c r="E388" s="216"/>
      <c r="F388" s="216"/>
      <c r="G388" s="222"/>
      <c r="H388" s="216"/>
      <c r="I388" s="216"/>
      <c r="J388" s="216"/>
      <c r="K388" s="222"/>
    </row>
    <row r="389" spans="1:11" ht="12.75" customHeight="1" x14ac:dyDescent="0.25">
      <c r="A389" s="222"/>
      <c r="B389" s="222"/>
      <c r="C389" s="216"/>
      <c r="D389" s="216"/>
      <c r="E389" s="216"/>
      <c r="F389" s="216"/>
      <c r="G389" s="222"/>
      <c r="H389" s="216"/>
      <c r="I389" s="216"/>
      <c r="J389" s="216"/>
      <c r="K389" s="222"/>
    </row>
    <row r="390" spans="1:11" ht="12.75" customHeight="1" x14ac:dyDescent="0.25">
      <c r="A390" s="222"/>
      <c r="B390" s="222"/>
      <c r="C390" s="216"/>
      <c r="D390" s="216"/>
      <c r="E390" s="216"/>
      <c r="F390" s="216"/>
      <c r="G390" s="222"/>
      <c r="H390" s="216"/>
      <c r="I390" s="216"/>
      <c r="J390" s="216"/>
      <c r="K390" s="222"/>
    </row>
    <row r="391" spans="1:11" ht="12.75" customHeight="1" x14ac:dyDescent="0.25">
      <c r="A391" s="222"/>
      <c r="B391" s="222"/>
      <c r="C391" s="216"/>
      <c r="D391" s="216"/>
      <c r="E391" s="216"/>
      <c r="F391" s="216"/>
      <c r="G391" s="222"/>
      <c r="H391" s="216"/>
      <c r="I391" s="216"/>
      <c r="J391" s="216"/>
      <c r="K391" s="222"/>
    </row>
    <row r="392" spans="1:11" ht="12.75" customHeight="1" x14ac:dyDescent="0.25">
      <c r="A392" s="222"/>
      <c r="B392" s="222"/>
      <c r="C392" s="216"/>
      <c r="D392" s="216"/>
      <c r="E392" s="216"/>
      <c r="F392" s="216"/>
      <c r="G392" s="222"/>
      <c r="H392" s="216"/>
      <c r="I392" s="216"/>
      <c r="J392" s="216"/>
      <c r="K392" s="222"/>
    </row>
    <row r="393" spans="1:11" ht="12.75" customHeight="1" x14ac:dyDescent="0.25">
      <c r="A393" s="222"/>
      <c r="B393" s="222"/>
      <c r="C393" s="216"/>
      <c r="D393" s="216"/>
      <c r="E393" s="216"/>
      <c r="F393" s="216"/>
      <c r="G393" s="222"/>
      <c r="H393" s="216"/>
      <c r="I393" s="216"/>
      <c r="J393" s="216"/>
      <c r="K393" s="222"/>
    </row>
    <row r="394" spans="1:11" ht="12.75" customHeight="1" x14ac:dyDescent="0.25">
      <c r="A394" s="222"/>
      <c r="B394" s="222"/>
      <c r="C394" s="216"/>
      <c r="D394" s="216"/>
      <c r="E394" s="216"/>
      <c r="F394" s="216"/>
      <c r="G394" s="222"/>
      <c r="H394" s="216"/>
      <c r="I394" s="216"/>
      <c r="J394" s="216"/>
      <c r="K394" s="222"/>
    </row>
    <row r="395" spans="1:11" ht="12.75" customHeight="1" x14ac:dyDescent="0.25">
      <c r="A395" s="222"/>
      <c r="B395" s="222"/>
      <c r="C395" s="216"/>
      <c r="D395" s="216"/>
      <c r="E395" s="216"/>
      <c r="F395" s="216"/>
      <c r="G395" s="222"/>
      <c r="H395" s="216"/>
      <c r="I395" s="216"/>
      <c r="J395" s="216"/>
      <c r="K395" s="222"/>
    </row>
    <row r="396" spans="1:11" ht="12.75" customHeight="1" x14ac:dyDescent="0.25">
      <c r="A396" s="222"/>
      <c r="B396" s="222"/>
      <c r="C396" s="216"/>
      <c r="D396" s="216"/>
      <c r="E396" s="216"/>
      <c r="F396" s="216"/>
      <c r="G396" s="222"/>
      <c r="H396" s="216"/>
      <c r="I396" s="216"/>
      <c r="J396" s="216"/>
      <c r="K396" s="222"/>
    </row>
    <row r="397" spans="1:11" ht="12.75" customHeight="1" x14ac:dyDescent="0.25">
      <c r="A397" s="222"/>
      <c r="B397" s="222"/>
      <c r="C397" s="216"/>
      <c r="D397" s="216"/>
      <c r="E397" s="216"/>
      <c r="F397" s="216"/>
      <c r="G397" s="222"/>
      <c r="H397" s="216"/>
      <c r="I397" s="216"/>
      <c r="J397" s="216"/>
      <c r="K397" s="222"/>
    </row>
    <row r="398" spans="1:11" ht="12.75" customHeight="1" x14ac:dyDescent="0.25">
      <c r="A398" s="222"/>
      <c r="B398" s="222"/>
      <c r="C398" s="216"/>
      <c r="D398" s="216"/>
      <c r="E398" s="216"/>
      <c r="F398" s="216"/>
      <c r="G398" s="222"/>
      <c r="H398" s="216"/>
      <c r="I398" s="216"/>
      <c r="J398" s="216"/>
      <c r="K398" s="222"/>
    </row>
    <row r="399" spans="1:11" ht="12.75" customHeight="1" x14ac:dyDescent="0.25">
      <c r="A399" s="222"/>
      <c r="B399" s="222"/>
      <c r="C399" s="216"/>
      <c r="D399" s="216"/>
      <c r="E399" s="216"/>
      <c r="F399" s="216"/>
      <c r="G399" s="222"/>
      <c r="H399" s="216"/>
      <c r="I399" s="216"/>
      <c r="J399" s="216"/>
      <c r="K399" s="222"/>
    </row>
    <row r="400" spans="1:11" ht="12.75" customHeight="1" x14ac:dyDescent="0.25">
      <c r="A400" s="222"/>
      <c r="B400" s="222"/>
      <c r="C400" s="216"/>
      <c r="D400" s="216"/>
      <c r="E400" s="216"/>
      <c r="F400" s="216"/>
      <c r="G400" s="222"/>
      <c r="H400" s="216"/>
      <c r="I400" s="216"/>
      <c r="J400" s="216"/>
      <c r="K400" s="222"/>
    </row>
    <row r="401" spans="1:11" ht="12.75" customHeight="1" x14ac:dyDescent="0.25">
      <c r="A401" s="222"/>
      <c r="B401" s="222"/>
      <c r="C401" s="216"/>
      <c r="D401" s="216"/>
      <c r="E401" s="216"/>
      <c r="F401" s="216"/>
      <c r="G401" s="222"/>
      <c r="H401" s="216"/>
      <c r="I401" s="216"/>
      <c r="J401" s="216"/>
      <c r="K401" s="222"/>
    </row>
    <row r="402" spans="1:11" ht="12.75" customHeight="1" x14ac:dyDescent="0.25">
      <c r="A402" s="222"/>
      <c r="B402" s="222"/>
      <c r="C402" s="216"/>
      <c r="D402" s="216"/>
      <c r="E402" s="216"/>
      <c r="F402" s="216"/>
      <c r="G402" s="222"/>
      <c r="H402" s="216"/>
      <c r="I402" s="216"/>
      <c r="J402" s="216"/>
      <c r="K402" s="222"/>
    </row>
    <row r="403" spans="1:11" ht="12.75" customHeight="1" x14ac:dyDescent="0.25">
      <c r="A403" s="222"/>
      <c r="B403" s="222"/>
      <c r="C403" s="216"/>
      <c r="D403" s="216"/>
      <c r="E403" s="216"/>
      <c r="F403" s="216"/>
      <c r="G403" s="222"/>
      <c r="H403" s="216"/>
      <c r="I403" s="216"/>
      <c r="J403" s="216"/>
      <c r="K403" s="222"/>
    </row>
    <row r="404" spans="1:11" ht="12.75" customHeight="1" x14ac:dyDescent="0.25">
      <c r="A404" s="222"/>
      <c r="B404" s="222"/>
      <c r="C404" s="216"/>
      <c r="D404" s="216"/>
      <c r="E404" s="216"/>
      <c r="F404" s="216"/>
      <c r="G404" s="222"/>
      <c r="H404" s="216"/>
      <c r="I404" s="216"/>
      <c r="J404" s="216"/>
      <c r="K404" s="222"/>
    </row>
    <row r="405" spans="1:11" ht="12.75" customHeight="1" x14ac:dyDescent="0.25">
      <c r="A405" s="222"/>
      <c r="B405" s="222"/>
      <c r="C405" s="216"/>
      <c r="D405" s="216"/>
      <c r="E405" s="216"/>
      <c r="F405" s="216"/>
      <c r="G405" s="222"/>
      <c r="H405" s="216"/>
      <c r="I405" s="216"/>
      <c r="J405" s="216"/>
      <c r="K405" s="222"/>
    </row>
    <row r="406" spans="1:11" ht="12.75" customHeight="1" x14ac:dyDescent="0.25">
      <c r="A406" s="222"/>
      <c r="B406" s="222"/>
      <c r="C406" s="216"/>
      <c r="D406" s="216"/>
      <c r="E406" s="216"/>
      <c r="F406" s="216"/>
      <c r="G406" s="222"/>
      <c r="H406" s="216"/>
      <c r="I406" s="216"/>
      <c r="J406" s="216"/>
      <c r="K406" s="222"/>
    </row>
    <row r="407" spans="1:11" ht="12.75" customHeight="1" x14ac:dyDescent="0.25">
      <c r="A407" s="222"/>
      <c r="B407" s="222"/>
      <c r="C407" s="216"/>
      <c r="D407" s="216"/>
      <c r="E407" s="216"/>
      <c r="F407" s="216"/>
      <c r="G407" s="222"/>
      <c r="H407" s="216"/>
      <c r="I407" s="216"/>
      <c r="J407" s="216"/>
      <c r="K407" s="222"/>
    </row>
    <row r="408" spans="1:11" ht="12.75" customHeight="1" x14ac:dyDescent="0.25">
      <c r="A408" s="222"/>
      <c r="B408" s="222"/>
      <c r="C408" s="216"/>
      <c r="D408" s="216"/>
      <c r="E408" s="216"/>
      <c r="F408" s="216"/>
      <c r="G408" s="222"/>
      <c r="H408" s="216"/>
      <c r="I408" s="216"/>
      <c r="J408" s="216"/>
      <c r="K408" s="222"/>
    </row>
    <row r="409" spans="1:11" ht="12.75" customHeight="1" x14ac:dyDescent="0.25">
      <c r="A409" s="222"/>
      <c r="B409" s="222"/>
      <c r="C409" s="216"/>
      <c r="D409" s="216"/>
      <c r="E409" s="216"/>
      <c r="F409" s="216"/>
      <c r="G409" s="222"/>
      <c r="H409" s="216"/>
      <c r="I409" s="216"/>
      <c r="J409" s="216"/>
      <c r="K409" s="222"/>
    </row>
    <row r="410" spans="1:11" ht="12.75" customHeight="1" x14ac:dyDescent="0.25">
      <c r="A410" s="222"/>
      <c r="B410" s="222"/>
      <c r="C410" s="216"/>
      <c r="D410" s="216"/>
      <c r="E410" s="216"/>
      <c r="F410" s="216"/>
      <c r="G410" s="222"/>
      <c r="H410" s="216"/>
      <c r="I410" s="216"/>
      <c r="J410" s="216"/>
      <c r="K410" s="222"/>
    </row>
    <row r="411" spans="1:11" ht="12.75" customHeight="1" x14ac:dyDescent="0.25">
      <c r="A411" s="222"/>
      <c r="B411" s="222"/>
      <c r="C411" s="216"/>
      <c r="D411" s="216"/>
      <c r="E411" s="216"/>
      <c r="F411" s="216"/>
      <c r="G411" s="222"/>
      <c r="H411" s="216"/>
      <c r="I411" s="216"/>
      <c r="J411" s="216"/>
      <c r="K411" s="222"/>
    </row>
    <row r="412" spans="1:11" ht="12.75" customHeight="1" x14ac:dyDescent="0.25">
      <c r="A412" s="222"/>
      <c r="B412" s="222"/>
      <c r="C412" s="216"/>
      <c r="D412" s="216"/>
      <c r="E412" s="216"/>
      <c r="F412" s="216"/>
      <c r="G412" s="222"/>
      <c r="H412" s="216"/>
      <c r="I412" s="216"/>
      <c r="J412" s="216"/>
      <c r="K412" s="222"/>
    </row>
    <row r="413" spans="1:11" ht="12.75" customHeight="1" x14ac:dyDescent="0.25">
      <c r="A413" s="222"/>
      <c r="B413" s="222"/>
      <c r="C413" s="216"/>
      <c r="D413" s="216"/>
      <c r="E413" s="216"/>
      <c r="F413" s="216"/>
      <c r="G413" s="222"/>
      <c r="H413" s="216"/>
      <c r="I413" s="216"/>
      <c r="J413" s="216"/>
      <c r="K413" s="222"/>
    </row>
    <row r="414" spans="1:11" ht="12.75" customHeight="1" x14ac:dyDescent="0.25">
      <c r="A414" s="222"/>
      <c r="B414" s="222"/>
      <c r="C414" s="216"/>
      <c r="D414" s="216"/>
      <c r="E414" s="216"/>
      <c r="F414" s="216"/>
      <c r="G414" s="222"/>
      <c r="H414" s="216"/>
      <c r="I414" s="216"/>
      <c r="J414" s="216"/>
      <c r="K414" s="222"/>
    </row>
    <row r="415" spans="1:11" ht="12.75" customHeight="1" x14ac:dyDescent="0.25">
      <c r="A415" s="222"/>
      <c r="B415" s="222"/>
      <c r="C415" s="216"/>
      <c r="D415" s="216"/>
      <c r="E415" s="216"/>
      <c r="F415" s="216"/>
      <c r="G415" s="222"/>
      <c r="H415" s="216"/>
      <c r="I415" s="216"/>
      <c r="J415" s="216"/>
      <c r="K415" s="222"/>
    </row>
    <row r="416" spans="1:11" ht="12.75" customHeight="1" x14ac:dyDescent="0.25">
      <c r="A416" s="222"/>
      <c r="B416" s="222"/>
      <c r="C416" s="216"/>
      <c r="D416" s="216"/>
      <c r="E416" s="216"/>
      <c r="F416" s="216"/>
      <c r="G416" s="222"/>
      <c r="H416" s="216"/>
      <c r="I416" s="216"/>
      <c r="J416" s="216"/>
      <c r="K416" s="222"/>
    </row>
    <row r="417" spans="1:11" ht="12.75" customHeight="1" x14ac:dyDescent="0.25">
      <c r="A417" s="222"/>
      <c r="B417" s="222"/>
      <c r="C417" s="216"/>
      <c r="D417" s="216"/>
      <c r="E417" s="216"/>
      <c r="F417" s="216"/>
      <c r="G417" s="222"/>
      <c r="H417" s="216"/>
      <c r="I417" s="216"/>
      <c r="J417" s="216"/>
      <c r="K417" s="222"/>
    </row>
    <row r="418" spans="1:11" ht="12.75" customHeight="1" x14ac:dyDescent="0.25">
      <c r="A418" s="222"/>
      <c r="B418" s="222"/>
      <c r="C418" s="216"/>
      <c r="D418" s="216"/>
      <c r="E418" s="216"/>
      <c r="F418" s="216"/>
      <c r="G418" s="222"/>
      <c r="H418" s="216"/>
      <c r="I418" s="216"/>
      <c r="J418" s="216"/>
      <c r="K418" s="222"/>
    </row>
    <row r="419" spans="1:11" ht="12.75" customHeight="1" x14ac:dyDescent="0.25">
      <c r="A419" s="222"/>
      <c r="B419" s="222"/>
      <c r="C419" s="216"/>
      <c r="D419" s="216"/>
      <c r="E419" s="216"/>
      <c r="F419" s="216"/>
      <c r="G419" s="222"/>
      <c r="H419" s="216"/>
      <c r="I419" s="216"/>
      <c r="J419" s="216"/>
      <c r="K419" s="222"/>
    </row>
    <row r="420" spans="1:11" ht="12.75" customHeight="1" x14ac:dyDescent="0.25">
      <c r="A420" s="222"/>
      <c r="B420" s="222"/>
      <c r="C420" s="216"/>
      <c r="D420" s="216"/>
      <c r="E420" s="216"/>
      <c r="F420" s="216"/>
      <c r="G420" s="222"/>
      <c r="H420" s="216"/>
      <c r="I420" s="216"/>
      <c r="J420" s="216"/>
      <c r="K420" s="222"/>
    </row>
    <row r="421" spans="1:11" ht="12.75" customHeight="1" x14ac:dyDescent="0.25">
      <c r="A421" s="222"/>
      <c r="B421" s="222"/>
      <c r="C421" s="216"/>
      <c r="D421" s="216"/>
      <c r="E421" s="216"/>
      <c r="F421" s="216"/>
      <c r="G421" s="222"/>
      <c r="H421" s="216"/>
      <c r="I421" s="216"/>
      <c r="J421" s="216"/>
      <c r="K421" s="222"/>
    </row>
    <row r="422" spans="1:11" ht="12.75" customHeight="1" x14ac:dyDescent="0.25">
      <c r="A422" s="222"/>
      <c r="B422" s="222"/>
      <c r="C422" s="216"/>
      <c r="D422" s="216"/>
      <c r="E422" s="216"/>
      <c r="F422" s="216"/>
      <c r="G422" s="222"/>
      <c r="H422" s="216"/>
      <c r="I422" s="216"/>
      <c r="J422" s="216"/>
      <c r="K422" s="222"/>
    </row>
    <row r="423" spans="1:11" ht="12.75" customHeight="1" x14ac:dyDescent="0.25">
      <c r="A423" s="222"/>
      <c r="B423" s="222"/>
      <c r="C423" s="216"/>
      <c r="D423" s="216"/>
      <c r="E423" s="216"/>
      <c r="F423" s="216"/>
      <c r="G423" s="222"/>
      <c r="H423" s="216"/>
      <c r="I423" s="216"/>
      <c r="J423" s="216"/>
      <c r="K423" s="222"/>
    </row>
    <row r="424" spans="1:11" ht="12.75" customHeight="1" x14ac:dyDescent="0.25">
      <c r="A424" s="222"/>
      <c r="B424" s="222"/>
      <c r="C424" s="216"/>
      <c r="D424" s="216"/>
      <c r="E424" s="216"/>
      <c r="F424" s="216"/>
      <c r="G424" s="222"/>
      <c r="H424" s="216"/>
      <c r="I424" s="216"/>
      <c r="J424" s="216"/>
      <c r="K424" s="222"/>
    </row>
    <row r="425" spans="1:11" ht="12.75" customHeight="1" x14ac:dyDescent="0.25">
      <c r="A425" s="222"/>
      <c r="B425" s="222"/>
      <c r="C425" s="216"/>
      <c r="D425" s="216"/>
      <c r="E425" s="216"/>
      <c r="F425" s="216"/>
      <c r="G425" s="222"/>
      <c r="H425" s="216"/>
      <c r="I425" s="216"/>
      <c r="J425" s="216"/>
      <c r="K425" s="222"/>
    </row>
    <row r="426" spans="1:11" ht="12.75" customHeight="1" x14ac:dyDescent="0.25">
      <c r="A426" s="222"/>
      <c r="B426" s="222"/>
      <c r="C426" s="216"/>
      <c r="D426" s="216"/>
      <c r="E426" s="216"/>
      <c r="F426" s="216"/>
      <c r="G426" s="222"/>
      <c r="H426" s="216"/>
      <c r="I426" s="216"/>
      <c r="J426" s="216"/>
      <c r="K426" s="222"/>
    </row>
    <row r="427" spans="1:11" ht="12.75" customHeight="1" x14ac:dyDescent="0.25">
      <c r="A427" s="222"/>
      <c r="B427" s="222"/>
      <c r="C427" s="216"/>
      <c r="D427" s="216"/>
      <c r="E427" s="216"/>
      <c r="F427" s="216"/>
      <c r="G427" s="222"/>
      <c r="H427" s="216"/>
      <c r="I427" s="216"/>
      <c r="J427" s="216"/>
      <c r="K427" s="222"/>
    </row>
    <row r="428" spans="1:11" ht="12.75" customHeight="1" x14ac:dyDescent="0.25">
      <c r="A428" s="222"/>
      <c r="B428" s="222"/>
      <c r="C428" s="216"/>
      <c r="D428" s="216"/>
      <c r="E428" s="216"/>
      <c r="F428" s="216"/>
      <c r="G428" s="222"/>
      <c r="H428" s="216"/>
      <c r="I428" s="216"/>
      <c r="J428" s="216"/>
      <c r="K428" s="222"/>
    </row>
    <row r="429" spans="1:11" ht="12.75" customHeight="1" x14ac:dyDescent="0.25">
      <c r="A429" s="222"/>
      <c r="B429" s="222"/>
      <c r="C429" s="216"/>
      <c r="D429" s="216"/>
      <c r="E429" s="216"/>
      <c r="F429" s="216"/>
      <c r="G429" s="222"/>
      <c r="H429" s="216"/>
      <c r="I429" s="216"/>
      <c r="J429" s="216"/>
      <c r="K429" s="222"/>
    </row>
    <row r="430" spans="1:11" ht="12.75" customHeight="1" x14ac:dyDescent="0.25">
      <c r="A430" s="222"/>
      <c r="B430" s="222"/>
      <c r="C430" s="216"/>
      <c r="D430" s="216"/>
      <c r="E430" s="216"/>
      <c r="F430" s="216"/>
      <c r="G430" s="222"/>
      <c r="H430" s="216"/>
      <c r="I430" s="216"/>
      <c r="J430" s="216"/>
      <c r="K430" s="222"/>
    </row>
    <row r="431" spans="1:11" ht="12.75" customHeight="1" x14ac:dyDescent="0.25">
      <c r="A431" s="222"/>
      <c r="B431" s="222"/>
      <c r="C431" s="216"/>
      <c r="D431" s="216"/>
      <c r="E431" s="216"/>
      <c r="F431" s="216"/>
      <c r="G431" s="222"/>
      <c r="H431" s="216"/>
      <c r="I431" s="216"/>
      <c r="J431" s="216"/>
      <c r="K431" s="222"/>
    </row>
    <row r="432" spans="1:11" ht="12.75" customHeight="1" x14ac:dyDescent="0.25">
      <c r="A432" s="222"/>
      <c r="B432" s="222"/>
      <c r="C432" s="216"/>
      <c r="D432" s="216"/>
      <c r="E432" s="216"/>
      <c r="F432" s="216"/>
      <c r="G432" s="222"/>
      <c r="H432" s="216"/>
      <c r="I432" s="216"/>
      <c r="J432" s="216"/>
      <c r="K432" s="222"/>
    </row>
    <row r="433" spans="1:11" ht="12.75" customHeight="1" x14ac:dyDescent="0.25">
      <c r="A433" s="222"/>
      <c r="B433" s="222"/>
      <c r="C433" s="216"/>
      <c r="D433" s="216"/>
      <c r="E433" s="216"/>
      <c r="F433" s="216"/>
      <c r="G433" s="222"/>
      <c r="H433" s="216"/>
      <c r="I433" s="216"/>
      <c r="J433" s="216"/>
      <c r="K433" s="222"/>
    </row>
    <row r="434" spans="1:11" ht="12.75" customHeight="1" x14ac:dyDescent="0.25">
      <c r="A434" s="222"/>
      <c r="B434" s="222"/>
      <c r="C434" s="216"/>
      <c r="D434" s="216"/>
      <c r="E434" s="216"/>
      <c r="F434" s="216"/>
      <c r="G434" s="222"/>
      <c r="H434" s="216"/>
      <c r="I434" s="216"/>
      <c r="J434" s="216"/>
      <c r="K434" s="222"/>
    </row>
    <row r="435" spans="1:11" ht="12.75" customHeight="1" x14ac:dyDescent="0.25">
      <c r="A435" s="222"/>
      <c r="B435" s="222"/>
      <c r="C435" s="216"/>
      <c r="D435" s="216"/>
      <c r="E435" s="216"/>
      <c r="F435" s="216"/>
      <c r="G435" s="222"/>
      <c r="H435" s="216"/>
      <c r="I435" s="216"/>
      <c r="J435" s="216"/>
      <c r="K435" s="222"/>
    </row>
    <row r="436" spans="1:11" ht="12.75" customHeight="1" x14ac:dyDescent="0.25">
      <c r="A436" s="222"/>
      <c r="B436" s="222"/>
      <c r="C436" s="216"/>
      <c r="D436" s="216"/>
      <c r="E436" s="216"/>
      <c r="F436" s="216"/>
      <c r="G436" s="222"/>
      <c r="H436" s="216"/>
      <c r="I436" s="216"/>
      <c r="J436" s="216"/>
      <c r="K436" s="222"/>
    </row>
    <row r="437" spans="1:11" ht="12.75" customHeight="1" x14ac:dyDescent="0.25">
      <c r="A437" s="222"/>
      <c r="B437" s="222"/>
      <c r="C437" s="216"/>
      <c r="D437" s="216"/>
      <c r="E437" s="216"/>
      <c r="F437" s="216"/>
      <c r="G437" s="222"/>
      <c r="H437" s="216"/>
      <c r="I437" s="216"/>
      <c r="J437" s="216"/>
      <c r="K437" s="222"/>
    </row>
    <row r="438" spans="1:11" ht="12.75" customHeight="1" x14ac:dyDescent="0.25">
      <c r="A438" s="222"/>
      <c r="B438" s="222"/>
      <c r="C438" s="216"/>
      <c r="D438" s="216"/>
      <c r="E438" s="216"/>
      <c r="F438" s="216"/>
      <c r="G438" s="222"/>
      <c r="H438" s="216"/>
      <c r="I438" s="216"/>
      <c r="J438" s="216"/>
      <c r="K438" s="222"/>
    </row>
    <row r="439" spans="1:11" ht="12.75" customHeight="1" x14ac:dyDescent="0.25">
      <c r="A439" s="222"/>
      <c r="B439" s="222"/>
      <c r="C439" s="216"/>
      <c r="D439" s="216"/>
      <c r="E439" s="216"/>
      <c r="F439" s="216"/>
      <c r="G439" s="222"/>
      <c r="H439" s="216"/>
      <c r="I439" s="216"/>
      <c r="J439" s="216"/>
      <c r="K439" s="222"/>
    </row>
    <row r="440" spans="1:11" ht="12.75" customHeight="1" x14ac:dyDescent="0.25">
      <c r="A440" s="222"/>
      <c r="B440" s="222"/>
      <c r="C440" s="216"/>
      <c r="D440" s="216"/>
      <c r="E440" s="216"/>
      <c r="F440" s="216"/>
      <c r="G440" s="222"/>
      <c r="H440" s="216"/>
      <c r="I440" s="216"/>
      <c r="J440" s="216"/>
      <c r="K440" s="222"/>
    </row>
    <row r="441" spans="1:11" ht="12.75" customHeight="1" x14ac:dyDescent="0.25">
      <c r="A441" s="222"/>
      <c r="B441" s="222"/>
      <c r="C441" s="216"/>
      <c r="D441" s="216"/>
      <c r="E441" s="216"/>
      <c r="F441" s="216"/>
      <c r="G441" s="222"/>
      <c r="H441" s="216"/>
      <c r="I441" s="216"/>
      <c r="J441" s="216"/>
      <c r="K441" s="222"/>
    </row>
    <row r="442" spans="1:11" ht="12.75" customHeight="1" x14ac:dyDescent="0.25">
      <c r="A442" s="222"/>
      <c r="B442" s="222"/>
      <c r="C442" s="216"/>
      <c r="D442" s="216"/>
      <c r="E442" s="216"/>
      <c r="F442" s="216"/>
      <c r="G442" s="222"/>
      <c r="H442" s="216"/>
      <c r="I442" s="216"/>
      <c r="J442" s="216"/>
      <c r="K442" s="222"/>
    </row>
    <row r="443" spans="1:11" ht="12.75" customHeight="1" x14ac:dyDescent="0.25">
      <c r="A443" s="222"/>
      <c r="B443" s="222"/>
      <c r="C443" s="216"/>
      <c r="D443" s="216"/>
      <c r="E443" s="216"/>
      <c r="F443" s="216"/>
      <c r="G443" s="222"/>
      <c r="H443" s="216"/>
      <c r="I443" s="216"/>
      <c r="J443" s="216"/>
      <c r="K443" s="222"/>
    </row>
    <row r="444" spans="1:11" ht="12.75" customHeight="1" x14ac:dyDescent="0.25">
      <c r="A444" s="222"/>
      <c r="B444" s="222"/>
      <c r="C444" s="216"/>
      <c r="D444" s="216"/>
      <c r="E444" s="216"/>
      <c r="F444" s="216"/>
      <c r="G444" s="222"/>
      <c r="H444" s="216"/>
      <c r="I444" s="216"/>
      <c r="J444" s="216"/>
      <c r="K444" s="222"/>
    </row>
    <row r="445" spans="1:11" ht="12.75" customHeight="1" x14ac:dyDescent="0.25">
      <c r="A445" s="222"/>
      <c r="B445" s="222"/>
      <c r="C445" s="216"/>
      <c r="D445" s="216"/>
      <c r="E445" s="216"/>
      <c r="F445" s="216"/>
      <c r="G445" s="222"/>
      <c r="H445" s="216"/>
      <c r="I445" s="216"/>
      <c r="J445" s="216"/>
      <c r="K445" s="222"/>
    </row>
    <row r="446" spans="1:11" ht="12.75" customHeight="1" x14ac:dyDescent="0.25">
      <c r="A446" s="222"/>
      <c r="B446" s="222"/>
      <c r="C446" s="216"/>
      <c r="D446" s="216"/>
      <c r="E446" s="216"/>
      <c r="F446" s="216"/>
      <c r="G446" s="222"/>
      <c r="H446" s="216"/>
      <c r="I446" s="216"/>
      <c r="J446" s="216"/>
      <c r="K446" s="222"/>
    </row>
    <row r="447" spans="1:11" ht="12.75" customHeight="1" x14ac:dyDescent="0.25">
      <c r="A447" s="222"/>
      <c r="B447" s="222"/>
      <c r="C447" s="216"/>
      <c r="D447" s="216"/>
      <c r="E447" s="216"/>
      <c r="F447" s="216"/>
      <c r="G447" s="222"/>
      <c r="H447" s="216"/>
      <c r="I447" s="216"/>
      <c r="J447" s="216"/>
      <c r="K447" s="222"/>
    </row>
    <row r="448" spans="1:11" ht="12.75" customHeight="1" x14ac:dyDescent="0.25">
      <c r="A448" s="222"/>
      <c r="B448" s="222"/>
      <c r="C448" s="216"/>
      <c r="D448" s="216"/>
      <c r="E448" s="216"/>
      <c r="F448" s="216"/>
      <c r="G448" s="222"/>
      <c r="H448" s="216"/>
      <c r="I448" s="216"/>
      <c r="J448" s="216"/>
      <c r="K448" s="222"/>
    </row>
    <row r="449" spans="1:11" ht="12.75" customHeight="1" x14ac:dyDescent="0.25">
      <c r="A449" s="222"/>
      <c r="B449" s="222"/>
      <c r="C449" s="216"/>
      <c r="D449" s="216"/>
      <c r="E449" s="216"/>
      <c r="F449" s="216"/>
      <c r="G449" s="222"/>
      <c r="H449" s="216"/>
      <c r="I449" s="216"/>
      <c r="J449" s="216"/>
      <c r="K449" s="222"/>
    </row>
    <row r="450" spans="1:11" ht="12.75" customHeight="1" x14ac:dyDescent="0.25">
      <c r="A450" s="222"/>
      <c r="B450" s="222"/>
      <c r="C450" s="216"/>
      <c r="D450" s="216"/>
      <c r="E450" s="216"/>
      <c r="F450" s="216"/>
      <c r="G450" s="222"/>
      <c r="H450" s="216"/>
      <c r="I450" s="216"/>
      <c r="J450" s="216"/>
      <c r="K450" s="222"/>
    </row>
    <row r="451" spans="1:11" ht="12.75" customHeight="1" x14ac:dyDescent="0.25">
      <c r="A451" s="222"/>
      <c r="B451" s="222"/>
      <c r="C451" s="216"/>
      <c r="D451" s="216"/>
      <c r="E451" s="216"/>
      <c r="F451" s="216"/>
      <c r="G451" s="222"/>
      <c r="H451" s="216"/>
      <c r="I451" s="216"/>
      <c r="J451" s="216"/>
      <c r="K451" s="222"/>
    </row>
    <row r="452" spans="1:11" ht="12.75" customHeight="1" x14ac:dyDescent="0.25">
      <c r="A452" s="222"/>
      <c r="B452" s="222"/>
      <c r="C452" s="216"/>
      <c r="D452" s="216"/>
      <c r="E452" s="216"/>
      <c r="F452" s="216"/>
      <c r="G452" s="222"/>
      <c r="H452" s="216"/>
      <c r="I452" s="216"/>
      <c r="J452" s="216"/>
      <c r="K452" s="222"/>
    </row>
    <row r="453" spans="1:11" ht="12.75" customHeight="1" x14ac:dyDescent="0.25">
      <c r="A453" s="222"/>
      <c r="B453" s="222"/>
      <c r="C453" s="216"/>
      <c r="D453" s="216"/>
      <c r="E453" s="216"/>
      <c r="F453" s="216"/>
      <c r="G453" s="222"/>
      <c r="H453" s="216"/>
      <c r="I453" s="216"/>
      <c r="J453" s="216"/>
      <c r="K453" s="222"/>
    </row>
    <row r="454" spans="1:11" ht="12.75" customHeight="1" x14ac:dyDescent="0.25">
      <c r="A454" s="222"/>
      <c r="B454" s="222"/>
      <c r="C454" s="216"/>
      <c r="D454" s="216"/>
      <c r="E454" s="216"/>
      <c r="F454" s="216"/>
      <c r="G454" s="222"/>
      <c r="H454" s="216"/>
      <c r="I454" s="216"/>
      <c r="J454" s="216"/>
      <c r="K454" s="222"/>
    </row>
    <row r="455" spans="1:11" ht="12.75" customHeight="1" x14ac:dyDescent="0.25">
      <c r="A455" s="222"/>
      <c r="B455" s="222"/>
      <c r="C455" s="216"/>
      <c r="D455" s="216"/>
      <c r="E455" s="216"/>
      <c r="F455" s="216"/>
      <c r="G455" s="222"/>
      <c r="H455" s="216"/>
      <c r="I455" s="216"/>
      <c r="J455" s="216"/>
      <c r="K455" s="222"/>
    </row>
    <row r="456" spans="1:11" ht="12.75" customHeight="1" x14ac:dyDescent="0.25">
      <c r="A456" s="222"/>
      <c r="B456" s="222"/>
      <c r="C456" s="216"/>
      <c r="D456" s="216"/>
      <c r="E456" s="216"/>
      <c r="F456" s="216"/>
      <c r="G456" s="222"/>
      <c r="H456" s="216"/>
      <c r="I456" s="216"/>
      <c r="J456" s="216"/>
      <c r="K456" s="222"/>
    </row>
    <row r="457" spans="1:11" ht="12.75" customHeight="1" x14ac:dyDescent="0.25">
      <c r="A457" s="222"/>
      <c r="B457" s="222"/>
      <c r="C457" s="216"/>
      <c r="D457" s="216"/>
      <c r="E457" s="216"/>
      <c r="F457" s="216"/>
      <c r="G457" s="222"/>
      <c r="H457" s="216"/>
      <c r="I457" s="216"/>
      <c r="J457" s="216"/>
      <c r="K457" s="222"/>
    </row>
    <row r="458" spans="1:11" ht="12.75" customHeight="1" x14ac:dyDescent="0.25">
      <c r="A458" s="222"/>
      <c r="B458" s="222"/>
      <c r="C458" s="216"/>
      <c r="D458" s="216"/>
      <c r="E458" s="216"/>
      <c r="F458" s="216"/>
      <c r="G458" s="222"/>
      <c r="H458" s="216"/>
      <c r="I458" s="216"/>
      <c r="J458" s="216"/>
      <c r="K458" s="222"/>
    </row>
    <row r="459" spans="1:11" ht="12.75" customHeight="1" x14ac:dyDescent="0.25">
      <c r="A459" s="222"/>
      <c r="B459" s="222"/>
      <c r="C459" s="216"/>
      <c r="D459" s="216"/>
      <c r="E459" s="216"/>
      <c r="F459" s="216"/>
      <c r="G459" s="222"/>
      <c r="H459" s="216"/>
      <c r="I459" s="216"/>
      <c r="J459" s="216"/>
      <c r="K459" s="222"/>
    </row>
    <row r="460" spans="1:11" ht="12.75" customHeight="1" x14ac:dyDescent="0.25">
      <c r="A460" s="222"/>
      <c r="B460" s="222"/>
      <c r="C460" s="216"/>
      <c r="D460" s="216"/>
      <c r="E460" s="216"/>
      <c r="F460" s="216"/>
      <c r="G460" s="222"/>
      <c r="H460" s="216"/>
      <c r="I460" s="216"/>
      <c r="J460" s="216"/>
      <c r="K460" s="222"/>
    </row>
    <row r="461" spans="1:11" ht="12.75" customHeight="1" x14ac:dyDescent="0.25">
      <c r="A461" s="222"/>
      <c r="B461" s="222"/>
      <c r="C461" s="216"/>
      <c r="D461" s="216"/>
      <c r="E461" s="216"/>
      <c r="F461" s="216"/>
      <c r="G461" s="222"/>
      <c r="H461" s="216"/>
      <c r="I461" s="216"/>
      <c r="J461" s="216"/>
      <c r="K461" s="222"/>
    </row>
    <row r="462" spans="1:11" ht="12.75" customHeight="1" x14ac:dyDescent="0.25">
      <c r="A462" s="222"/>
      <c r="B462" s="222"/>
      <c r="C462" s="216"/>
      <c r="D462" s="216"/>
      <c r="E462" s="216"/>
      <c r="F462" s="216"/>
      <c r="G462" s="222"/>
      <c r="H462" s="216"/>
      <c r="I462" s="216"/>
      <c r="J462" s="216"/>
      <c r="K462" s="222"/>
    </row>
    <row r="463" spans="1:11" ht="12.75" customHeight="1" x14ac:dyDescent="0.25">
      <c r="A463" s="222"/>
      <c r="B463" s="222"/>
      <c r="C463" s="216"/>
      <c r="D463" s="216"/>
      <c r="E463" s="216"/>
      <c r="F463" s="216"/>
      <c r="G463" s="222"/>
      <c r="H463" s="216"/>
      <c r="I463" s="216"/>
      <c r="J463" s="216"/>
      <c r="K463" s="222"/>
    </row>
    <row r="464" spans="1:11" ht="12.75" customHeight="1" x14ac:dyDescent="0.25">
      <c r="A464" s="222"/>
      <c r="B464" s="222"/>
      <c r="C464" s="216"/>
      <c r="D464" s="216"/>
      <c r="E464" s="216"/>
      <c r="F464" s="216"/>
      <c r="G464" s="222"/>
      <c r="H464" s="216"/>
      <c r="I464" s="216"/>
      <c r="J464" s="216"/>
      <c r="K464" s="222"/>
    </row>
    <row r="465" spans="1:11" ht="12.75" customHeight="1" x14ac:dyDescent="0.25">
      <c r="A465" s="222"/>
      <c r="B465" s="222"/>
      <c r="C465" s="216"/>
      <c r="D465" s="216"/>
      <c r="E465" s="216"/>
      <c r="F465" s="216"/>
      <c r="G465" s="222"/>
      <c r="H465" s="216"/>
      <c r="I465" s="216"/>
      <c r="J465" s="216"/>
      <c r="K465" s="222"/>
    </row>
    <row r="466" spans="1:11" ht="12.75" customHeight="1" x14ac:dyDescent="0.25">
      <c r="A466" s="222"/>
      <c r="B466" s="222"/>
      <c r="C466" s="216"/>
      <c r="D466" s="216"/>
      <c r="E466" s="216"/>
      <c r="F466" s="216"/>
      <c r="G466" s="222"/>
      <c r="H466" s="216"/>
      <c r="I466" s="216"/>
      <c r="J466" s="216"/>
      <c r="K466" s="222"/>
    </row>
    <row r="467" spans="1:11" ht="12.75" customHeight="1" x14ac:dyDescent="0.25">
      <c r="A467" s="222"/>
      <c r="B467" s="222"/>
      <c r="C467" s="216"/>
      <c r="D467" s="216"/>
      <c r="E467" s="216"/>
      <c r="F467" s="216"/>
      <c r="G467" s="222"/>
      <c r="H467" s="216"/>
      <c r="I467" s="216"/>
      <c r="J467" s="216"/>
      <c r="K467" s="222"/>
    </row>
    <row r="468" spans="1:11" ht="12.75" customHeight="1" x14ac:dyDescent="0.25">
      <c r="A468" s="222"/>
      <c r="B468" s="222"/>
      <c r="C468" s="216"/>
      <c r="D468" s="216"/>
      <c r="E468" s="216"/>
      <c r="F468" s="216"/>
      <c r="G468" s="222"/>
      <c r="H468" s="216"/>
      <c r="I468" s="216"/>
      <c r="J468" s="216"/>
      <c r="K468" s="222"/>
    </row>
    <row r="469" spans="1:11" ht="12.75" customHeight="1" x14ac:dyDescent="0.25">
      <c r="A469" s="222"/>
      <c r="B469" s="222"/>
      <c r="C469" s="216"/>
      <c r="D469" s="216"/>
      <c r="E469" s="216"/>
      <c r="F469" s="216"/>
      <c r="G469" s="222"/>
      <c r="H469" s="216"/>
      <c r="I469" s="216"/>
      <c r="J469" s="216"/>
      <c r="K469" s="222"/>
    </row>
    <row r="470" spans="1:11" ht="12.75" customHeight="1" x14ac:dyDescent="0.25">
      <c r="A470" s="222"/>
      <c r="B470" s="222"/>
      <c r="C470" s="216"/>
      <c r="D470" s="216"/>
      <c r="E470" s="216"/>
      <c r="F470" s="216"/>
      <c r="G470" s="222"/>
      <c r="H470" s="216"/>
      <c r="I470" s="216"/>
      <c r="J470" s="216"/>
      <c r="K470" s="222"/>
    </row>
    <row r="471" spans="1:11" ht="12.75" customHeight="1" x14ac:dyDescent="0.25">
      <c r="A471" s="222"/>
      <c r="B471" s="222"/>
      <c r="C471" s="216"/>
      <c r="D471" s="216"/>
      <c r="E471" s="216"/>
      <c r="F471" s="216"/>
      <c r="G471" s="222"/>
      <c r="H471" s="216"/>
      <c r="I471" s="216"/>
      <c r="J471" s="216"/>
      <c r="K471" s="222"/>
    </row>
    <row r="472" spans="1:11" ht="12.75" customHeight="1" x14ac:dyDescent="0.25">
      <c r="A472" s="222"/>
      <c r="B472" s="222"/>
      <c r="C472" s="216"/>
      <c r="D472" s="216"/>
      <c r="E472" s="216"/>
      <c r="F472" s="216"/>
      <c r="G472" s="222"/>
      <c r="H472" s="216"/>
      <c r="I472" s="216"/>
      <c r="J472" s="216"/>
      <c r="K472" s="222"/>
    </row>
    <row r="473" spans="1:11" ht="12.75" customHeight="1" x14ac:dyDescent="0.25">
      <c r="A473" s="222"/>
      <c r="B473" s="222"/>
      <c r="C473" s="216"/>
      <c r="D473" s="216"/>
      <c r="E473" s="216"/>
      <c r="F473" s="216"/>
      <c r="G473" s="222"/>
      <c r="H473" s="216"/>
      <c r="I473" s="216"/>
      <c r="J473" s="216"/>
      <c r="K473" s="222"/>
    </row>
    <row r="474" spans="1:11" ht="12.75" customHeight="1" x14ac:dyDescent="0.25">
      <c r="A474" s="222"/>
      <c r="B474" s="222"/>
      <c r="C474" s="216"/>
      <c r="D474" s="216"/>
      <c r="E474" s="216"/>
      <c r="F474" s="216"/>
      <c r="G474" s="222"/>
      <c r="H474" s="216"/>
      <c r="I474" s="216"/>
      <c r="J474" s="216"/>
      <c r="K474" s="222"/>
    </row>
    <row r="475" spans="1:11" ht="12.75" customHeight="1" x14ac:dyDescent="0.25">
      <c r="A475" s="222"/>
      <c r="B475" s="222"/>
      <c r="C475" s="216"/>
      <c r="D475" s="216"/>
      <c r="E475" s="216"/>
      <c r="F475" s="216"/>
      <c r="G475" s="222"/>
      <c r="H475" s="216"/>
      <c r="I475" s="216"/>
      <c r="J475" s="216"/>
      <c r="K475" s="222"/>
    </row>
    <row r="476" spans="1:11" ht="12.75" customHeight="1" x14ac:dyDescent="0.25">
      <c r="A476" s="222"/>
      <c r="B476" s="222"/>
      <c r="C476" s="216"/>
      <c r="D476" s="216"/>
      <c r="E476" s="216"/>
      <c r="F476" s="216"/>
      <c r="G476" s="222"/>
      <c r="H476" s="216"/>
      <c r="I476" s="216"/>
      <c r="J476" s="216"/>
      <c r="K476" s="222"/>
    </row>
    <row r="477" spans="1:11" ht="12.75" customHeight="1" x14ac:dyDescent="0.25">
      <c r="A477" s="222"/>
      <c r="B477" s="222"/>
      <c r="C477" s="216"/>
      <c r="D477" s="216"/>
      <c r="E477" s="216"/>
      <c r="F477" s="216"/>
      <c r="G477" s="222"/>
      <c r="H477" s="216"/>
      <c r="I477" s="216"/>
      <c r="J477" s="216"/>
      <c r="K477" s="222"/>
    </row>
    <row r="478" spans="1:11" ht="12.75" customHeight="1" x14ac:dyDescent="0.25">
      <c r="A478" s="222"/>
      <c r="B478" s="222"/>
      <c r="C478" s="216"/>
      <c r="D478" s="216"/>
      <c r="E478" s="216"/>
      <c r="F478" s="216"/>
      <c r="G478" s="222"/>
      <c r="H478" s="216"/>
      <c r="I478" s="216"/>
      <c r="J478" s="216"/>
      <c r="K478" s="222"/>
    </row>
    <row r="479" spans="1:11" ht="12.75" customHeight="1" x14ac:dyDescent="0.25">
      <c r="A479" s="222"/>
      <c r="B479" s="222"/>
      <c r="C479" s="216"/>
      <c r="D479" s="216"/>
      <c r="E479" s="216"/>
      <c r="F479" s="216"/>
      <c r="G479" s="222"/>
      <c r="H479" s="216"/>
      <c r="I479" s="216"/>
      <c r="J479" s="216"/>
      <c r="K479" s="222"/>
    </row>
    <row r="480" spans="1:11" ht="12.75" customHeight="1" x14ac:dyDescent="0.25">
      <c r="A480" s="222"/>
      <c r="B480" s="222"/>
      <c r="C480" s="216"/>
      <c r="D480" s="216"/>
      <c r="E480" s="216"/>
      <c r="F480" s="216"/>
      <c r="G480" s="222"/>
      <c r="H480" s="216"/>
      <c r="I480" s="216"/>
      <c r="J480" s="216"/>
      <c r="K480" s="222"/>
    </row>
    <row r="481" spans="1:11" ht="12.75" customHeight="1" x14ac:dyDescent="0.25">
      <c r="A481" s="222"/>
      <c r="B481" s="222"/>
      <c r="C481" s="216"/>
      <c r="D481" s="216"/>
      <c r="E481" s="216"/>
      <c r="F481" s="216"/>
      <c r="G481" s="222"/>
      <c r="H481" s="216"/>
      <c r="I481" s="216"/>
      <c r="J481" s="216"/>
      <c r="K481" s="222"/>
    </row>
    <row r="482" spans="1:11" ht="12.75" customHeight="1" x14ac:dyDescent="0.25">
      <c r="A482" s="222"/>
      <c r="B482" s="222"/>
      <c r="C482" s="216"/>
      <c r="D482" s="216"/>
      <c r="E482" s="216"/>
      <c r="F482" s="216"/>
      <c r="G482" s="222"/>
      <c r="H482" s="216"/>
      <c r="I482" s="216"/>
      <c r="J482" s="216"/>
      <c r="K482" s="222"/>
    </row>
    <row r="483" spans="1:11" ht="12.75" customHeight="1" x14ac:dyDescent="0.25">
      <c r="A483" s="222"/>
      <c r="B483" s="222"/>
      <c r="C483" s="216"/>
      <c r="D483" s="216"/>
      <c r="E483" s="216"/>
      <c r="F483" s="216"/>
      <c r="G483" s="222"/>
      <c r="H483" s="216"/>
      <c r="I483" s="216"/>
      <c r="J483" s="216"/>
      <c r="K483" s="222"/>
    </row>
    <row r="484" spans="1:11" ht="12.75" customHeight="1" x14ac:dyDescent="0.25">
      <c r="A484" s="222"/>
      <c r="B484" s="222"/>
      <c r="C484" s="216"/>
      <c r="D484" s="216"/>
      <c r="E484" s="216"/>
      <c r="F484" s="216"/>
      <c r="G484" s="222"/>
      <c r="H484" s="216"/>
      <c r="I484" s="216"/>
      <c r="J484" s="216"/>
      <c r="K484" s="222"/>
    </row>
    <row r="485" spans="1:11" ht="12.75" customHeight="1" x14ac:dyDescent="0.25">
      <c r="A485" s="222"/>
      <c r="B485" s="222"/>
      <c r="C485" s="216"/>
      <c r="D485" s="216"/>
      <c r="E485" s="216"/>
      <c r="F485" s="216"/>
      <c r="G485" s="222"/>
      <c r="H485" s="216"/>
      <c r="I485" s="216"/>
      <c r="J485" s="216"/>
      <c r="K485" s="222"/>
    </row>
    <row r="486" spans="1:11" ht="12.75" customHeight="1" x14ac:dyDescent="0.25">
      <c r="A486" s="222"/>
      <c r="B486" s="222"/>
      <c r="C486" s="216"/>
      <c r="D486" s="216"/>
      <c r="E486" s="216"/>
      <c r="F486" s="216"/>
      <c r="G486" s="222"/>
      <c r="H486" s="216"/>
      <c r="I486" s="216"/>
      <c r="J486" s="216"/>
      <c r="K486" s="222"/>
    </row>
    <row r="487" spans="1:11" ht="12.75" customHeight="1" x14ac:dyDescent="0.25">
      <c r="A487" s="222"/>
      <c r="B487" s="222"/>
      <c r="C487" s="216"/>
      <c r="D487" s="216"/>
      <c r="E487" s="216"/>
      <c r="F487" s="216"/>
      <c r="G487" s="222"/>
      <c r="H487" s="216"/>
      <c r="I487" s="216"/>
      <c r="J487" s="216"/>
      <c r="K487" s="222"/>
    </row>
    <row r="488" spans="1:11" ht="12.75" customHeight="1" x14ac:dyDescent="0.25">
      <c r="A488" s="222"/>
      <c r="B488" s="222"/>
      <c r="C488" s="216"/>
      <c r="D488" s="216"/>
      <c r="E488" s="216"/>
      <c r="F488" s="216"/>
      <c r="G488" s="222"/>
      <c r="H488" s="216"/>
      <c r="I488" s="216"/>
      <c r="J488" s="216"/>
      <c r="K488" s="222"/>
    </row>
    <row r="489" spans="1:11" ht="12.75" customHeight="1" x14ac:dyDescent="0.25">
      <c r="A489" s="222"/>
      <c r="B489" s="222"/>
      <c r="C489" s="216"/>
      <c r="D489" s="216"/>
      <c r="E489" s="216"/>
      <c r="F489" s="216"/>
      <c r="G489" s="222"/>
      <c r="H489" s="216"/>
      <c r="I489" s="216"/>
      <c r="J489" s="216"/>
      <c r="K489" s="222"/>
    </row>
    <row r="490" spans="1:11" ht="12.75" customHeight="1" x14ac:dyDescent="0.25">
      <c r="A490" s="222"/>
      <c r="B490" s="222"/>
      <c r="C490" s="216"/>
      <c r="D490" s="216"/>
      <c r="E490" s="216"/>
      <c r="F490" s="216"/>
      <c r="G490" s="222"/>
      <c r="H490" s="216"/>
      <c r="I490" s="216"/>
      <c r="J490" s="216"/>
      <c r="K490" s="222"/>
    </row>
    <row r="491" spans="1:11" ht="12.75" customHeight="1" x14ac:dyDescent="0.25">
      <c r="A491" s="222"/>
      <c r="B491" s="222"/>
      <c r="C491" s="216"/>
      <c r="D491" s="216"/>
      <c r="E491" s="216"/>
      <c r="F491" s="216"/>
      <c r="G491" s="222"/>
      <c r="H491" s="216"/>
      <c r="I491" s="216"/>
      <c r="J491" s="216"/>
      <c r="K491" s="222"/>
    </row>
    <row r="492" spans="1:11" ht="12.75" customHeight="1" x14ac:dyDescent="0.25">
      <c r="A492" s="222"/>
      <c r="B492" s="222"/>
      <c r="C492" s="216"/>
      <c r="D492" s="216"/>
      <c r="E492" s="216"/>
      <c r="F492" s="216"/>
      <c r="G492" s="222"/>
      <c r="H492" s="216"/>
      <c r="I492" s="216"/>
      <c r="J492" s="216"/>
      <c r="K492" s="222"/>
    </row>
    <row r="493" spans="1:11" ht="12.75" customHeight="1" x14ac:dyDescent="0.25">
      <c r="A493" s="222"/>
      <c r="B493" s="222"/>
      <c r="C493" s="216"/>
      <c r="D493" s="216"/>
      <c r="E493" s="216"/>
      <c r="F493" s="216"/>
      <c r="G493" s="222"/>
      <c r="H493" s="216"/>
      <c r="I493" s="216"/>
      <c r="J493" s="216"/>
      <c r="K493" s="222"/>
    </row>
    <row r="494" spans="1:11" ht="12.75" customHeight="1" x14ac:dyDescent="0.25">
      <c r="A494" s="222"/>
      <c r="B494" s="222"/>
      <c r="C494" s="216"/>
      <c r="D494" s="216"/>
      <c r="E494" s="216"/>
      <c r="F494" s="216"/>
      <c r="G494" s="222"/>
      <c r="H494" s="216"/>
      <c r="I494" s="216"/>
      <c r="J494" s="216"/>
      <c r="K494" s="222"/>
    </row>
    <row r="495" spans="1:11" ht="12.75" customHeight="1" x14ac:dyDescent="0.25">
      <c r="A495" s="222"/>
      <c r="B495" s="222"/>
      <c r="C495" s="216"/>
      <c r="D495" s="216"/>
      <c r="E495" s="216"/>
      <c r="F495" s="216"/>
      <c r="G495" s="222"/>
      <c r="H495" s="216"/>
      <c r="I495" s="216"/>
      <c r="J495" s="216"/>
      <c r="K495" s="222"/>
    </row>
    <row r="496" spans="1:11" ht="12.75" customHeight="1" x14ac:dyDescent="0.25">
      <c r="A496" s="222"/>
      <c r="B496" s="222"/>
      <c r="C496" s="216"/>
      <c r="D496" s="216"/>
      <c r="E496" s="216"/>
      <c r="F496" s="216"/>
      <c r="G496" s="222"/>
      <c r="H496" s="216"/>
      <c r="I496" s="216"/>
      <c r="J496" s="216"/>
      <c r="K496" s="222"/>
    </row>
    <row r="497" spans="1:11" ht="12.75" customHeight="1" x14ac:dyDescent="0.25">
      <c r="A497" s="222"/>
      <c r="B497" s="222"/>
      <c r="C497" s="216"/>
      <c r="D497" s="216"/>
      <c r="E497" s="216"/>
      <c r="F497" s="216"/>
      <c r="G497" s="222"/>
      <c r="H497" s="216"/>
      <c r="I497" s="216"/>
      <c r="J497" s="216"/>
      <c r="K497" s="222"/>
    </row>
    <row r="498" spans="1:11" ht="12.75" customHeight="1" x14ac:dyDescent="0.25">
      <c r="A498" s="222"/>
      <c r="B498" s="222"/>
      <c r="C498" s="216"/>
      <c r="D498" s="216"/>
      <c r="E498" s="216"/>
      <c r="F498" s="216"/>
      <c r="G498" s="222"/>
      <c r="H498" s="216"/>
      <c r="I498" s="216"/>
      <c r="J498" s="216"/>
      <c r="K498" s="222"/>
    </row>
    <row r="499" spans="1:11" ht="12.75" customHeight="1" x14ac:dyDescent="0.25">
      <c r="A499" s="222"/>
      <c r="B499" s="222"/>
      <c r="C499" s="216"/>
      <c r="D499" s="216"/>
      <c r="E499" s="216"/>
      <c r="F499" s="216"/>
      <c r="G499" s="222"/>
      <c r="H499" s="216"/>
      <c r="I499" s="216"/>
      <c r="J499" s="216"/>
      <c r="K499" s="222"/>
    </row>
    <row r="500" spans="1:11" ht="12.75" customHeight="1" x14ac:dyDescent="0.25">
      <c r="A500" s="222"/>
      <c r="B500" s="222"/>
      <c r="C500" s="216"/>
      <c r="D500" s="216"/>
      <c r="E500" s="216"/>
      <c r="F500" s="216"/>
      <c r="G500" s="222"/>
      <c r="H500" s="216"/>
      <c r="I500" s="216"/>
      <c r="J500" s="216"/>
      <c r="K500" s="222"/>
    </row>
    <row r="501" spans="1:11" ht="12.75" customHeight="1" x14ac:dyDescent="0.25">
      <c r="A501" s="222"/>
      <c r="B501" s="222"/>
      <c r="C501" s="216"/>
      <c r="D501" s="216"/>
      <c r="E501" s="216"/>
      <c r="F501" s="216"/>
      <c r="G501" s="222"/>
      <c r="H501" s="216"/>
      <c r="I501" s="216"/>
      <c r="J501" s="216"/>
      <c r="K501" s="222"/>
    </row>
    <row r="502" spans="1:11" ht="12.75" customHeight="1" x14ac:dyDescent="0.25">
      <c r="A502" s="222"/>
      <c r="B502" s="222"/>
      <c r="C502" s="216"/>
      <c r="D502" s="216"/>
      <c r="E502" s="216"/>
      <c r="F502" s="216"/>
      <c r="G502" s="222"/>
      <c r="H502" s="216"/>
      <c r="I502" s="216"/>
      <c r="J502" s="216"/>
      <c r="K502" s="222"/>
    </row>
    <row r="503" spans="1:11" ht="12.75" customHeight="1" x14ac:dyDescent="0.25">
      <c r="A503" s="222"/>
      <c r="B503" s="222"/>
      <c r="C503" s="216"/>
      <c r="D503" s="216"/>
      <c r="E503" s="216"/>
      <c r="F503" s="216"/>
      <c r="G503" s="222"/>
      <c r="H503" s="216"/>
      <c r="I503" s="216"/>
      <c r="J503" s="216"/>
      <c r="K503" s="222"/>
    </row>
    <row r="504" spans="1:11" ht="12.75" customHeight="1" x14ac:dyDescent="0.25">
      <c r="A504" s="222"/>
      <c r="B504" s="222"/>
      <c r="C504" s="216"/>
      <c r="D504" s="216"/>
      <c r="E504" s="216"/>
      <c r="F504" s="216"/>
      <c r="G504" s="222"/>
      <c r="H504" s="216"/>
      <c r="I504" s="216"/>
      <c r="J504" s="216"/>
      <c r="K504" s="222"/>
    </row>
    <row r="505" spans="1:11" ht="12.75" customHeight="1" x14ac:dyDescent="0.25">
      <c r="A505" s="222"/>
      <c r="B505" s="222"/>
      <c r="C505" s="216"/>
      <c r="D505" s="216"/>
      <c r="E505" s="216"/>
      <c r="F505" s="216"/>
      <c r="G505" s="222"/>
      <c r="H505" s="216"/>
      <c r="I505" s="216"/>
      <c r="J505" s="216"/>
      <c r="K505" s="222"/>
    </row>
    <row r="506" spans="1:11" ht="12.75" customHeight="1" x14ac:dyDescent="0.25">
      <c r="A506" s="222"/>
      <c r="B506" s="222"/>
      <c r="C506" s="216"/>
      <c r="D506" s="216"/>
      <c r="E506" s="216"/>
      <c r="F506" s="216"/>
      <c r="G506" s="222"/>
      <c r="H506" s="216"/>
      <c r="I506" s="216"/>
      <c r="J506" s="216"/>
      <c r="K506" s="222"/>
    </row>
    <row r="507" spans="1:11" ht="12.75" customHeight="1" x14ac:dyDescent="0.25">
      <c r="A507" s="222"/>
      <c r="B507" s="222"/>
      <c r="C507" s="216"/>
      <c r="D507" s="216"/>
      <c r="E507" s="216"/>
      <c r="F507" s="216"/>
      <c r="G507" s="222"/>
      <c r="H507" s="216"/>
      <c r="I507" s="216"/>
      <c r="J507" s="216"/>
      <c r="K507" s="222"/>
    </row>
    <row r="508" spans="1:11" ht="12.75" customHeight="1" x14ac:dyDescent="0.25">
      <c r="A508" s="222"/>
      <c r="B508" s="222"/>
      <c r="C508" s="216"/>
      <c r="D508" s="216"/>
      <c r="E508" s="216"/>
      <c r="F508" s="216"/>
      <c r="G508" s="222"/>
      <c r="H508" s="216"/>
      <c r="I508" s="216"/>
      <c r="J508" s="216"/>
      <c r="K508" s="222"/>
    </row>
    <row r="509" spans="1:11" ht="12.75" customHeight="1" x14ac:dyDescent="0.25">
      <c r="A509" s="222"/>
      <c r="B509" s="222"/>
      <c r="C509" s="216"/>
      <c r="D509" s="216"/>
      <c r="E509" s="216"/>
      <c r="F509" s="216"/>
      <c r="G509" s="222"/>
      <c r="H509" s="216"/>
      <c r="I509" s="216"/>
      <c r="J509" s="216"/>
      <c r="K509" s="222"/>
    </row>
    <row r="510" spans="1:11" ht="12.75" customHeight="1" x14ac:dyDescent="0.25">
      <c r="A510" s="222"/>
      <c r="B510" s="222"/>
      <c r="C510" s="216"/>
      <c r="D510" s="216"/>
      <c r="E510" s="216"/>
      <c r="F510" s="216"/>
      <c r="G510" s="222"/>
      <c r="H510" s="216"/>
      <c r="I510" s="216"/>
      <c r="J510" s="216"/>
      <c r="K510" s="222"/>
    </row>
    <row r="511" spans="1:11" ht="12.75" customHeight="1" x14ac:dyDescent="0.25">
      <c r="A511" s="222"/>
      <c r="B511" s="222"/>
      <c r="C511" s="216"/>
      <c r="D511" s="216"/>
      <c r="E511" s="216"/>
      <c r="F511" s="216"/>
      <c r="G511" s="222"/>
      <c r="H511" s="216"/>
      <c r="I511" s="216"/>
      <c r="J511" s="216"/>
      <c r="K511" s="222"/>
    </row>
    <row r="512" spans="1:11" ht="12.75" customHeight="1" x14ac:dyDescent="0.25">
      <c r="A512" s="222"/>
      <c r="B512" s="222"/>
      <c r="C512" s="216"/>
      <c r="D512" s="216"/>
      <c r="E512" s="216"/>
      <c r="F512" s="216"/>
      <c r="G512" s="222"/>
      <c r="H512" s="216"/>
      <c r="I512" s="216"/>
      <c r="J512" s="216"/>
      <c r="K512" s="222"/>
    </row>
    <row r="513" spans="1:11" ht="12.75" customHeight="1" x14ac:dyDescent="0.25">
      <c r="A513" s="222"/>
      <c r="B513" s="222"/>
      <c r="C513" s="216"/>
      <c r="D513" s="216"/>
      <c r="E513" s="216"/>
      <c r="F513" s="216"/>
      <c r="G513" s="222"/>
      <c r="H513" s="216"/>
      <c r="I513" s="216"/>
      <c r="J513" s="216"/>
      <c r="K513" s="222"/>
    </row>
    <row r="514" spans="1:11" ht="12.75" customHeight="1" x14ac:dyDescent="0.25">
      <c r="A514" s="222"/>
      <c r="B514" s="222"/>
      <c r="C514" s="216"/>
      <c r="D514" s="216"/>
      <c r="E514" s="216"/>
      <c r="F514" s="216"/>
      <c r="G514" s="222"/>
      <c r="H514" s="216"/>
      <c r="I514" s="216"/>
      <c r="J514" s="216"/>
      <c r="K514" s="222"/>
    </row>
    <row r="515" spans="1:11" ht="12.75" customHeight="1" x14ac:dyDescent="0.25">
      <c r="A515" s="222"/>
      <c r="B515" s="222"/>
      <c r="C515" s="216"/>
      <c r="D515" s="216"/>
      <c r="E515" s="216"/>
      <c r="F515" s="216"/>
      <c r="G515" s="222"/>
      <c r="H515" s="216"/>
      <c r="I515" s="216"/>
      <c r="J515" s="216"/>
      <c r="K515" s="222"/>
    </row>
    <row r="516" spans="1:11" ht="12.75" customHeight="1" x14ac:dyDescent="0.25">
      <c r="A516" s="222"/>
      <c r="B516" s="222"/>
      <c r="C516" s="216"/>
      <c r="D516" s="216"/>
      <c r="E516" s="216"/>
      <c r="F516" s="216"/>
      <c r="G516" s="222"/>
      <c r="H516" s="216"/>
      <c r="I516" s="216"/>
      <c r="J516" s="216"/>
      <c r="K516" s="222"/>
    </row>
    <row r="517" spans="1:11" ht="12.75" customHeight="1" x14ac:dyDescent="0.25">
      <c r="A517" s="222"/>
      <c r="B517" s="222"/>
      <c r="C517" s="216"/>
      <c r="D517" s="216"/>
      <c r="E517" s="216"/>
      <c r="F517" s="216"/>
      <c r="G517" s="222"/>
      <c r="H517" s="216"/>
      <c r="I517" s="216"/>
      <c r="J517" s="216"/>
      <c r="K517" s="222"/>
    </row>
    <row r="518" spans="1:11" ht="12.75" customHeight="1" x14ac:dyDescent="0.25">
      <c r="A518" s="222"/>
      <c r="B518" s="222"/>
      <c r="C518" s="216"/>
      <c r="D518" s="216"/>
      <c r="E518" s="216"/>
      <c r="F518" s="216"/>
      <c r="G518" s="222"/>
      <c r="H518" s="216"/>
      <c r="I518" s="216"/>
      <c r="J518" s="216"/>
      <c r="K518" s="222"/>
    </row>
    <row r="519" spans="1:11" ht="12.75" customHeight="1" x14ac:dyDescent="0.25">
      <c r="A519" s="222"/>
      <c r="B519" s="222"/>
      <c r="C519" s="216"/>
      <c r="D519" s="216"/>
      <c r="E519" s="216"/>
      <c r="F519" s="216"/>
      <c r="G519" s="222"/>
      <c r="H519" s="216"/>
      <c r="I519" s="216"/>
      <c r="J519" s="216"/>
      <c r="K519" s="222"/>
    </row>
    <row r="520" spans="1:11" ht="12.75" customHeight="1" x14ac:dyDescent="0.25">
      <c r="A520" s="222"/>
      <c r="B520" s="222"/>
      <c r="C520" s="216"/>
      <c r="D520" s="216"/>
      <c r="E520" s="216"/>
      <c r="F520" s="216"/>
      <c r="G520" s="222"/>
      <c r="H520" s="216"/>
      <c r="I520" s="216"/>
      <c r="J520" s="216"/>
      <c r="K520" s="222"/>
    </row>
    <row r="521" spans="1:11" ht="12.75" customHeight="1" x14ac:dyDescent="0.25">
      <c r="A521" s="222"/>
      <c r="B521" s="222"/>
      <c r="C521" s="216"/>
      <c r="D521" s="216"/>
      <c r="E521" s="216"/>
      <c r="F521" s="216"/>
      <c r="G521" s="222"/>
      <c r="H521" s="216"/>
      <c r="I521" s="216"/>
      <c r="J521" s="216"/>
      <c r="K521" s="222"/>
    </row>
    <row r="522" spans="1:11" ht="12.75" customHeight="1" x14ac:dyDescent="0.25">
      <c r="A522" s="222"/>
      <c r="B522" s="222"/>
      <c r="C522" s="216"/>
      <c r="D522" s="216"/>
      <c r="E522" s="216"/>
      <c r="F522" s="216"/>
      <c r="G522" s="222"/>
      <c r="H522" s="216"/>
      <c r="I522" s="216"/>
      <c r="J522" s="216"/>
      <c r="K522" s="222"/>
    </row>
    <row r="523" spans="1:11" ht="12.75" customHeight="1" x14ac:dyDescent="0.25">
      <c r="A523" s="222"/>
      <c r="B523" s="222"/>
      <c r="C523" s="216"/>
      <c r="D523" s="216"/>
      <c r="E523" s="216"/>
      <c r="F523" s="216"/>
      <c r="G523" s="222"/>
      <c r="H523" s="216"/>
      <c r="I523" s="216"/>
      <c r="J523" s="216"/>
      <c r="K523" s="222"/>
    </row>
    <row r="524" spans="1:11" ht="12.75" customHeight="1" x14ac:dyDescent="0.25">
      <c r="A524" s="222"/>
      <c r="B524" s="222"/>
      <c r="C524" s="216"/>
      <c r="D524" s="216"/>
      <c r="E524" s="216"/>
      <c r="F524" s="216"/>
      <c r="G524" s="222"/>
      <c r="H524" s="216"/>
      <c r="I524" s="216"/>
      <c r="J524" s="216"/>
      <c r="K524" s="222"/>
    </row>
    <row r="525" spans="1:11" ht="12.75" customHeight="1" x14ac:dyDescent="0.25">
      <c r="A525" s="222"/>
      <c r="B525" s="222"/>
      <c r="C525" s="216"/>
      <c r="D525" s="216"/>
      <c r="E525" s="216"/>
      <c r="F525" s="216"/>
      <c r="G525" s="222"/>
      <c r="H525" s="216"/>
      <c r="I525" s="216"/>
      <c r="J525" s="216"/>
      <c r="K525" s="222"/>
    </row>
    <row r="526" spans="1:11" ht="12.75" customHeight="1" x14ac:dyDescent="0.25">
      <c r="A526" s="222"/>
      <c r="B526" s="222"/>
      <c r="C526" s="216"/>
      <c r="D526" s="216"/>
      <c r="E526" s="216"/>
      <c r="F526" s="216"/>
      <c r="G526" s="222"/>
      <c r="H526" s="216"/>
      <c r="I526" s="216"/>
      <c r="J526" s="216"/>
      <c r="K526" s="222"/>
    </row>
    <row r="527" spans="1:11" ht="12.75" customHeight="1" x14ac:dyDescent="0.25">
      <c r="A527" s="222"/>
      <c r="B527" s="222"/>
      <c r="C527" s="216"/>
      <c r="D527" s="216"/>
      <c r="E527" s="216"/>
      <c r="F527" s="216"/>
      <c r="G527" s="222"/>
      <c r="H527" s="216"/>
      <c r="I527" s="216"/>
      <c r="J527" s="216"/>
      <c r="K527" s="222"/>
    </row>
    <row r="528" spans="1:11" ht="12.75" customHeight="1" x14ac:dyDescent="0.25">
      <c r="A528" s="222"/>
      <c r="B528" s="222"/>
      <c r="C528" s="216"/>
      <c r="D528" s="216"/>
      <c r="E528" s="216"/>
      <c r="F528" s="216"/>
      <c r="G528" s="222"/>
      <c r="H528" s="216"/>
      <c r="I528" s="216"/>
      <c r="J528" s="216"/>
      <c r="K528" s="222"/>
    </row>
    <row r="529" spans="1:11" ht="12.75" customHeight="1" x14ac:dyDescent="0.25">
      <c r="A529" s="222"/>
      <c r="B529" s="222"/>
      <c r="C529" s="216"/>
      <c r="D529" s="216"/>
      <c r="E529" s="216"/>
      <c r="F529" s="216"/>
      <c r="G529" s="222"/>
      <c r="H529" s="216"/>
      <c r="I529" s="216"/>
      <c r="J529" s="216"/>
      <c r="K529" s="222"/>
    </row>
    <row r="530" spans="1:11" ht="12.75" customHeight="1" x14ac:dyDescent="0.25">
      <c r="A530" s="222"/>
      <c r="B530" s="222"/>
      <c r="C530" s="216"/>
      <c r="D530" s="216"/>
      <c r="E530" s="216"/>
      <c r="F530" s="216"/>
      <c r="G530" s="222"/>
      <c r="H530" s="216"/>
      <c r="I530" s="216"/>
      <c r="J530" s="216"/>
      <c r="K530" s="222"/>
    </row>
    <row r="531" spans="1:11" ht="12.75" customHeight="1" x14ac:dyDescent="0.25">
      <c r="A531" s="222"/>
      <c r="B531" s="222"/>
      <c r="C531" s="216"/>
      <c r="D531" s="216"/>
      <c r="E531" s="216"/>
      <c r="F531" s="216"/>
      <c r="G531" s="222"/>
      <c r="H531" s="216"/>
      <c r="I531" s="216"/>
      <c r="J531" s="216"/>
      <c r="K531" s="222"/>
    </row>
    <row r="532" spans="1:11" ht="12.75" customHeight="1" x14ac:dyDescent="0.25">
      <c r="A532" s="222"/>
      <c r="B532" s="222"/>
      <c r="C532" s="216"/>
      <c r="D532" s="216"/>
      <c r="E532" s="216"/>
      <c r="F532" s="216"/>
      <c r="G532" s="222"/>
      <c r="H532" s="216"/>
      <c r="I532" s="216"/>
      <c r="J532" s="216"/>
      <c r="K532" s="222"/>
    </row>
    <row r="533" spans="1:11" ht="12.75" customHeight="1" x14ac:dyDescent="0.25">
      <c r="A533" s="222"/>
      <c r="B533" s="222"/>
      <c r="C533" s="216"/>
      <c r="D533" s="216"/>
      <c r="E533" s="216"/>
      <c r="F533" s="216"/>
      <c r="G533" s="222"/>
      <c r="H533" s="216"/>
      <c r="I533" s="216"/>
      <c r="J533" s="216"/>
      <c r="K533" s="222"/>
    </row>
    <row r="534" spans="1:11" ht="12.75" customHeight="1" x14ac:dyDescent="0.25">
      <c r="A534" s="222"/>
      <c r="B534" s="222"/>
      <c r="C534" s="216"/>
      <c r="D534" s="216"/>
      <c r="E534" s="216"/>
      <c r="F534" s="216"/>
      <c r="G534" s="222"/>
      <c r="H534" s="216"/>
      <c r="I534" s="216"/>
      <c r="J534" s="216"/>
      <c r="K534" s="222"/>
    </row>
    <row r="535" spans="1:11" ht="12.75" customHeight="1" x14ac:dyDescent="0.25">
      <c r="A535" s="222"/>
      <c r="B535" s="222"/>
      <c r="C535" s="216"/>
      <c r="D535" s="216"/>
      <c r="E535" s="216"/>
      <c r="F535" s="216"/>
      <c r="G535" s="222"/>
      <c r="H535" s="216"/>
      <c r="I535" s="216"/>
      <c r="J535" s="216"/>
      <c r="K535" s="222"/>
    </row>
    <row r="536" spans="1:11" ht="12.75" customHeight="1" x14ac:dyDescent="0.25">
      <c r="A536" s="222"/>
      <c r="B536" s="222"/>
      <c r="C536" s="216"/>
      <c r="D536" s="216"/>
      <c r="E536" s="216"/>
      <c r="F536" s="216"/>
      <c r="G536" s="222"/>
      <c r="H536" s="216"/>
      <c r="I536" s="216"/>
      <c r="J536" s="216"/>
      <c r="K536" s="222"/>
    </row>
    <row r="537" spans="1:11" ht="12.75" customHeight="1" x14ac:dyDescent="0.25">
      <c r="A537" s="222"/>
      <c r="B537" s="222"/>
      <c r="C537" s="216"/>
      <c r="D537" s="216"/>
      <c r="E537" s="216"/>
      <c r="F537" s="216"/>
      <c r="G537" s="222"/>
      <c r="H537" s="216"/>
      <c r="I537" s="216"/>
      <c r="J537" s="216"/>
      <c r="K537" s="222"/>
    </row>
    <row r="538" spans="1:11" ht="12.75" customHeight="1" x14ac:dyDescent="0.25">
      <c r="A538" s="222"/>
      <c r="B538" s="222"/>
      <c r="C538" s="216"/>
      <c r="D538" s="216"/>
      <c r="E538" s="216"/>
      <c r="F538" s="216"/>
      <c r="G538" s="222"/>
      <c r="H538" s="216"/>
      <c r="I538" s="216"/>
      <c r="J538" s="216"/>
      <c r="K538" s="222"/>
    </row>
    <row r="539" spans="1:11" ht="12.75" customHeight="1" x14ac:dyDescent="0.25">
      <c r="A539" s="222"/>
      <c r="B539" s="222"/>
      <c r="C539" s="216"/>
      <c r="D539" s="216"/>
      <c r="E539" s="216"/>
      <c r="F539" s="216"/>
      <c r="G539" s="222"/>
      <c r="H539" s="216"/>
      <c r="I539" s="216"/>
      <c r="J539" s="216"/>
      <c r="K539" s="222"/>
    </row>
    <row r="540" spans="1:11" ht="12.75" customHeight="1" x14ac:dyDescent="0.25">
      <c r="A540" s="222"/>
      <c r="B540" s="222"/>
      <c r="C540" s="216"/>
      <c r="D540" s="216"/>
      <c r="E540" s="216"/>
      <c r="F540" s="216"/>
      <c r="G540" s="222"/>
      <c r="H540" s="216"/>
      <c r="I540" s="216"/>
      <c r="J540" s="216"/>
      <c r="K540" s="222"/>
    </row>
    <row r="541" spans="1:11" ht="12.75" customHeight="1" x14ac:dyDescent="0.25">
      <c r="A541" s="222"/>
      <c r="B541" s="222"/>
      <c r="C541" s="216"/>
      <c r="D541" s="216"/>
      <c r="E541" s="216"/>
      <c r="F541" s="216"/>
      <c r="G541" s="222"/>
      <c r="H541" s="216"/>
      <c r="I541" s="216"/>
      <c r="J541" s="216"/>
      <c r="K541" s="222"/>
    </row>
    <row r="542" spans="1:11" ht="12.75" customHeight="1" x14ac:dyDescent="0.25">
      <c r="A542" s="222"/>
      <c r="B542" s="222"/>
      <c r="C542" s="216"/>
      <c r="D542" s="216"/>
      <c r="E542" s="216"/>
      <c r="F542" s="216"/>
      <c r="G542" s="222"/>
      <c r="H542" s="216"/>
      <c r="I542" s="216"/>
      <c r="J542" s="216"/>
      <c r="K542" s="222"/>
    </row>
    <row r="543" spans="1:11" ht="12.75" customHeight="1" x14ac:dyDescent="0.25">
      <c r="A543" s="222"/>
      <c r="B543" s="222"/>
      <c r="C543" s="216"/>
      <c r="D543" s="216"/>
      <c r="E543" s="216"/>
      <c r="F543" s="216"/>
      <c r="G543" s="222"/>
      <c r="H543" s="216"/>
      <c r="I543" s="216"/>
      <c r="J543" s="216"/>
      <c r="K543" s="222"/>
    </row>
    <row r="544" spans="1:11" ht="12.75" customHeight="1" x14ac:dyDescent="0.25">
      <c r="A544" s="222"/>
      <c r="B544" s="222"/>
      <c r="C544" s="216"/>
      <c r="D544" s="216"/>
      <c r="E544" s="216"/>
      <c r="F544" s="216"/>
      <c r="G544" s="222"/>
      <c r="H544" s="216"/>
      <c r="I544" s="216"/>
      <c r="J544" s="216"/>
      <c r="K544" s="222"/>
    </row>
    <row r="545" spans="1:11" ht="12.75" customHeight="1" x14ac:dyDescent="0.25">
      <c r="A545" s="222"/>
      <c r="B545" s="222"/>
      <c r="C545" s="216"/>
      <c r="D545" s="216"/>
      <c r="E545" s="216"/>
      <c r="F545" s="216"/>
      <c r="G545" s="222"/>
      <c r="H545" s="216"/>
      <c r="I545" s="216"/>
      <c r="J545" s="216"/>
      <c r="K545" s="222"/>
    </row>
    <row r="546" spans="1:11" ht="12.75" customHeight="1" x14ac:dyDescent="0.25">
      <c r="A546" s="222"/>
      <c r="B546" s="222"/>
      <c r="C546" s="216"/>
      <c r="D546" s="216"/>
      <c r="E546" s="216"/>
      <c r="F546" s="216"/>
      <c r="G546" s="222"/>
      <c r="H546" s="216"/>
      <c r="I546" s="216"/>
      <c r="J546" s="216"/>
      <c r="K546" s="222"/>
    </row>
    <row r="547" spans="1:11" ht="12.75" customHeight="1" x14ac:dyDescent="0.25">
      <c r="A547" s="222"/>
      <c r="B547" s="222"/>
      <c r="C547" s="216"/>
      <c r="D547" s="216"/>
      <c r="E547" s="216"/>
      <c r="F547" s="216"/>
      <c r="G547" s="222"/>
      <c r="H547" s="216"/>
      <c r="I547" s="216"/>
      <c r="J547" s="216"/>
      <c r="K547" s="222"/>
    </row>
    <row r="548" spans="1:11" ht="12.75" customHeight="1" x14ac:dyDescent="0.25">
      <c r="A548" s="222"/>
      <c r="B548" s="222"/>
      <c r="C548" s="216"/>
      <c r="D548" s="216"/>
      <c r="E548" s="216"/>
      <c r="F548" s="216"/>
      <c r="G548" s="222"/>
      <c r="H548" s="216"/>
      <c r="I548" s="216"/>
      <c r="J548" s="216"/>
      <c r="K548" s="222"/>
    </row>
    <row r="549" spans="1:11" ht="12.75" customHeight="1" x14ac:dyDescent="0.25">
      <c r="A549" s="222"/>
      <c r="B549" s="222"/>
      <c r="C549" s="216"/>
      <c r="D549" s="216"/>
      <c r="E549" s="216"/>
      <c r="F549" s="216"/>
      <c r="G549" s="222"/>
      <c r="H549" s="216"/>
      <c r="I549" s="216"/>
      <c r="J549" s="216"/>
      <c r="K549" s="222"/>
    </row>
    <row r="550" spans="1:11" ht="12.75" customHeight="1" x14ac:dyDescent="0.25">
      <c r="A550" s="222"/>
      <c r="B550" s="222"/>
      <c r="C550" s="216"/>
      <c r="D550" s="216"/>
      <c r="E550" s="216"/>
      <c r="F550" s="216"/>
      <c r="G550" s="222"/>
      <c r="H550" s="216"/>
      <c r="I550" s="216"/>
      <c r="J550" s="216"/>
      <c r="K550" s="222"/>
    </row>
    <row r="551" spans="1:11" ht="12.75" customHeight="1" x14ac:dyDescent="0.25">
      <c r="A551" s="222"/>
      <c r="B551" s="222"/>
      <c r="C551" s="216"/>
      <c r="D551" s="216"/>
      <c r="E551" s="216"/>
      <c r="F551" s="216"/>
      <c r="G551" s="222"/>
      <c r="H551" s="216"/>
      <c r="I551" s="216"/>
      <c r="J551" s="216"/>
      <c r="K551" s="222"/>
    </row>
    <row r="552" spans="1:11" ht="12.75" customHeight="1" x14ac:dyDescent="0.25">
      <c r="A552" s="222"/>
      <c r="B552" s="222"/>
      <c r="C552" s="216"/>
      <c r="D552" s="216"/>
      <c r="E552" s="216"/>
      <c r="F552" s="216"/>
      <c r="G552" s="222"/>
      <c r="H552" s="216"/>
      <c r="I552" s="216"/>
      <c r="J552" s="216"/>
      <c r="K552" s="222"/>
    </row>
    <row r="553" spans="1:11" ht="12.75" customHeight="1" x14ac:dyDescent="0.25">
      <c r="A553" s="222"/>
      <c r="B553" s="222"/>
      <c r="C553" s="216"/>
      <c r="D553" s="216"/>
      <c r="E553" s="216"/>
      <c r="F553" s="216"/>
      <c r="G553" s="222"/>
      <c r="H553" s="216"/>
      <c r="I553" s="216"/>
      <c r="J553" s="216"/>
      <c r="K553" s="222"/>
    </row>
    <row r="554" spans="1:11" ht="12.75" customHeight="1" x14ac:dyDescent="0.25">
      <c r="A554" s="222"/>
      <c r="B554" s="222"/>
      <c r="C554" s="216"/>
      <c r="D554" s="216"/>
      <c r="E554" s="216"/>
      <c r="F554" s="216"/>
      <c r="G554" s="222"/>
      <c r="H554" s="216"/>
      <c r="I554" s="216"/>
      <c r="J554" s="216"/>
      <c r="K554" s="222"/>
    </row>
    <row r="555" spans="1:11" ht="12.75" customHeight="1" x14ac:dyDescent="0.25">
      <c r="A555" s="222"/>
      <c r="B555" s="222"/>
      <c r="C555" s="216"/>
      <c r="D555" s="216"/>
      <c r="E555" s="216"/>
      <c r="F555" s="216"/>
      <c r="G555" s="222"/>
      <c r="H555" s="216"/>
      <c r="I555" s="216"/>
      <c r="J555" s="216"/>
      <c r="K555" s="222"/>
    </row>
    <row r="556" spans="1:11" ht="12.75" customHeight="1" x14ac:dyDescent="0.25">
      <c r="A556" s="222"/>
      <c r="B556" s="222"/>
      <c r="C556" s="216"/>
      <c r="D556" s="216"/>
      <c r="E556" s="216"/>
      <c r="F556" s="216"/>
      <c r="G556" s="222"/>
      <c r="H556" s="216"/>
      <c r="I556" s="216"/>
      <c r="J556" s="216"/>
      <c r="K556" s="222"/>
    </row>
    <row r="557" spans="1:11" ht="12.75" customHeight="1" x14ac:dyDescent="0.25">
      <c r="A557" s="222"/>
      <c r="B557" s="222"/>
      <c r="C557" s="216"/>
      <c r="D557" s="216"/>
      <c r="E557" s="216"/>
      <c r="F557" s="216"/>
      <c r="G557" s="222"/>
      <c r="H557" s="216"/>
      <c r="I557" s="216"/>
      <c r="J557" s="216"/>
      <c r="K557" s="222"/>
    </row>
    <row r="558" spans="1:11" ht="12.75" customHeight="1" x14ac:dyDescent="0.25">
      <c r="A558" s="222"/>
      <c r="B558" s="222"/>
      <c r="C558" s="216"/>
      <c r="D558" s="216"/>
      <c r="E558" s="216"/>
      <c r="F558" s="216"/>
      <c r="G558" s="222"/>
      <c r="H558" s="216"/>
      <c r="I558" s="216"/>
      <c r="J558" s="216"/>
      <c r="K558" s="222"/>
    </row>
    <row r="559" spans="1:11" ht="12.75" customHeight="1" x14ac:dyDescent="0.25">
      <c r="A559" s="222"/>
      <c r="B559" s="222"/>
      <c r="C559" s="216"/>
      <c r="D559" s="216"/>
      <c r="E559" s="216"/>
      <c r="F559" s="216"/>
      <c r="G559" s="222"/>
      <c r="H559" s="216"/>
      <c r="I559" s="216"/>
      <c r="J559" s="216"/>
      <c r="K559" s="222"/>
    </row>
    <row r="560" spans="1:11" ht="12.75" customHeight="1" x14ac:dyDescent="0.25">
      <c r="A560" s="222"/>
      <c r="B560" s="222"/>
      <c r="C560" s="216"/>
      <c r="D560" s="216"/>
      <c r="E560" s="216"/>
      <c r="F560" s="216"/>
      <c r="G560" s="222"/>
      <c r="H560" s="216"/>
      <c r="I560" s="216"/>
      <c r="J560" s="216"/>
      <c r="K560" s="222"/>
    </row>
    <row r="561" spans="1:11" ht="12.75" customHeight="1" x14ac:dyDescent="0.25">
      <c r="A561" s="222"/>
      <c r="B561" s="222"/>
      <c r="C561" s="216"/>
      <c r="D561" s="216"/>
      <c r="E561" s="216"/>
      <c r="F561" s="216"/>
      <c r="G561" s="222"/>
      <c r="H561" s="216"/>
      <c r="I561" s="216"/>
      <c r="J561" s="216"/>
      <c r="K561" s="222"/>
    </row>
    <row r="562" spans="1:11" ht="12.75" customHeight="1" x14ac:dyDescent="0.25">
      <c r="A562" s="222"/>
      <c r="B562" s="222"/>
      <c r="C562" s="216"/>
      <c r="D562" s="216"/>
      <c r="E562" s="216"/>
      <c r="F562" s="216"/>
      <c r="G562" s="222"/>
      <c r="H562" s="216"/>
      <c r="I562" s="216"/>
      <c r="J562" s="216"/>
      <c r="K562" s="222"/>
    </row>
    <row r="563" spans="1:11" ht="12.75" customHeight="1" x14ac:dyDescent="0.25">
      <c r="A563" s="222"/>
      <c r="B563" s="222"/>
      <c r="C563" s="216"/>
      <c r="D563" s="216"/>
      <c r="E563" s="216"/>
      <c r="F563" s="216"/>
      <c r="G563" s="222"/>
      <c r="H563" s="216"/>
      <c r="I563" s="216"/>
      <c r="J563" s="216"/>
      <c r="K563" s="222"/>
    </row>
    <row r="564" spans="1:11" ht="12.75" customHeight="1" x14ac:dyDescent="0.25">
      <c r="A564" s="222"/>
      <c r="B564" s="222"/>
      <c r="C564" s="216"/>
      <c r="D564" s="216"/>
      <c r="E564" s="216"/>
      <c r="F564" s="216"/>
      <c r="G564" s="222"/>
      <c r="H564" s="216"/>
      <c r="I564" s="216"/>
      <c r="J564" s="216"/>
      <c r="K564" s="222"/>
    </row>
    <row r="565" spans="1:11" ht="12.75" customHeight="1" x14ac:dyDescent="0.25">
      <c r="A565" s="222"/>
      <c r="B565" s="222"/>
      <c r="C565" s="216"/>
      <c r="D565" s="216"/>
      <c r="E565" s="216"/>
      <c r="F565" s="216"/>
      <c r="G565" s="222"/>
      <c r="H565" s="216"/>
      <c r="I565" s="216"/>
      <c r="J565" s="216"/>
      <c r="K565" s="222"/>
    </row>
    <row r="566" spans="1:11" ht="12.75" customHeight="1" x14ac:dyDescent="0.25">
      <c r="A566" s="222"/>
      <c r="B566" s="222"/>
      <c r="C566" s="216"/>
      <c r="D566" s="216"/>
      <c r="E566" s="216"/>
      <c r="F566" s="216"/>
      <c r="G566" s="222"/>
      <c r="H566" s="216"/>
      <c r="I566" s="216"/>
      <c r="J566" s="216"/>
      <c r="K566" s="222"/>
    </row>
    <row r="567" spans="1:11" ht="12.75" customHeight="1" x14ac:dyDescent="0.25">
      <c r="A567" s="222"/>
      <c r="B567" s="222"/>
      <c r="C567" s="216"/>
      <c r="D567" s="216"/>
      <c r="E567" s="216"/>
      <c r="F567" s="216"/>
      <c r="G567" s="222"/>
      <c r="H567" s="216"/>
      <c r="I567" s="216"/>
      <c r="J567" s="216"/>
      <c r="K567" s="222"/>
    </row>
    <row r="568" spans="1:11" ht="12.75" customHeight="1" x14ac:dyDescent="0.25">
      <c r="A568" s="222"/>
      <c r="B568" s="222"/>
      <c r="C568" s="216"/>
      <c r="D568" s="216"/>
      <c r="E568" s="216"/>
      <c r="F568" s="216"/>
      <c r="G568" s="222"/>
      <c r="H568" s="216"/>
      <c r="I568" s="216"/>
      <c r="J568" s="216"/>
      <c r="K568" s="222"/>
    </row>
    <row r="569" spans="1:11" ht="12.75" customHeight="1" x14ac:dyDescent="0.25">
      <c r="A569" s="222"/>
      <c r="B569" s="222"/>
      <c r="C569" s="216"/>
      <c r="D569" s="216"/>
      <c r="E569" s="216"/>
      <c r="F569" s="216"/>
      <c r="G569" s="222"/>
      <c r="H569" s="216"/>
      <c r="I569" s="216"/>
      <c r="J569" s="216"/>
      <c r="K569" s="222"/>
    </row>
    <row r="570" spans="1:11" ht="12.75" customHeight="1" x14ac:dyDescent="0.25">
      <c r="A570" s="222"/>
      <c r="B570" s="222"/>
      <c r="C570" s="216"/>
      <c r="D570" s="216"/>
      <c r="E570" s="216"/>
      <c r="F570" s="216"/>
      <c r="G570" s="222"/>
      <c r="H570" s="216"/>
      <c r="I570" s="216"/>
      <c r="J570" s="216"/>
      <c r="K570" s="222"/>
    </row>
    <row r="571" spans="1:11" ht="12.75" customHeight="1" x14ac:dyDescent="0.25">
      <c r="A571" s="222"/>
      <c r="B571" s="222"/>
      <c r="C571" s="216"/>
      <c r="D571" s="216"/>
      <c r="E571" s="216"/>
      <c r="F571" s="216"/>
      <c r="G571" s="222"/>
      <c r="H571" s="216"/>
      <c r="I571" s="216"/>
      <c r="J571" s="216"/>
      <c r="K571" s="222"/>
    </row>
    <row r="572" spans="1:11" ht="12.75" customHeight="1" x14ac:dyDescent="0.25">
      <c r="A572" s="222"/>
      <c r="B572" s="222"/>
      <c r="C572" s="216"/>
      <c r="D572" s="216"/>
      <c r="E572" s="216"/>
      <c r="F572" s="216"/>
      <c r="G572" s="222"/>
      <c r="H572" s="216"/>
      <c r="I572" s="216"/>
      <c r="J572" s="216"/>
      <c r="K572" s="222"/>
    </row>
    <row r="573" spans="1:11" ht="12.75" customHeight="1" x14ac:dyDescent="0.25">
      <c r="A573" s="222"/>
      <c r="B573" s="222"/>
      <c r="C573" s="216"/>
      <c r="D573" s="216"/>
      <c r="E573" s="216"/>
      <c r="F573" s="216"/>
      <c r="G573" s="222"/>
      <c r="H573" s="216"/>
      <c r="I573" s="216"/>
      <c r="J573" s="216"/>
      <c r="K573" s="222"/>
    </row>
    <row r="574" spans="1:11" ht="12.75" customHeight="1" x14ac:dyDescent="0.25">
      <c r="A574" s="222"/>
      <c r="B574" s="222"/>
      <c r="C574" s="216"/>
      <c r="D574" s="216"/>
      <c r="E574" s="216"/>
      <c r="F574" s="216"/>
      <c r="G574" s="222"/>
      <c r="H574" s="216"/>
      <c r="I574" s="216"/>
      <c r="J574" s="216"/>
      <c r="K574" s="222"/>
    </row>
    <row r="575" spans="1:11" ht="12.75" customHeight="1" x14ac:dyDescent="0.25">
      <c r="A575" s="222"/>
      <c r="B575" s="222"/>
      <c r="C575" s="216"/>
      <c r="D575" s="216"/>
      <c r="E575" s="216"/>
      <c r="F575" s="216"/>
      <c r="G575" s="222"/>
      <c r="H575" s="216"/>
      <c r="I575" s="216"/>
      <c r="J575" s="216"/>
      <c r="K575" s="222"/>
    </row>
    <row r="576" spans="1:11" ht="12.75" customHeight="1" x14ac:dyDescent="0.25">
      <c r="A576" s="222"/>
      <c r="B576" s="222"/>
      <c r="C576" s="216"/>
      <c r="D576" s="216"/>
      <c r="E576" s="216"/>
      <c r="F576" s="216"/>
      <c r="G576" s="222"/>
      <c r="H576" s="216"/>
      <c r="I576" s="216"/>
      <c r="J576" s="216"/>
      <c r="K576" s="222"/>
    </row>
    <row r="577" spans="1:11" ht="12.75" customHeight="1" x14ac:dyDescent="0.25">
      <c r="A577" s="222"/>
      <c r="B577" s="222"/>
      <c r="C577" s="216"/>
      <c r="D577" s="216"/>
      <c r="E577" s="216"/>
      <c r="F577" s="216"/>
      <c r="G577" s="222"/>
      <c r="H577" s="216"/>
      <c r="I577" s="216"/>
      <c r="J577" s="216"/>
      <c r="K577" s="222"/>
    </row>
    <row r="578" spans="1:11" ht="12.75" customHeight="1" x14ac:dyDescent="0.25">
      <c r="A578" s="222"/>
      <c r="B578" s="222"/>
      <c r="C578" s="216"/>
      <c r="D578" s="216"/>
      <c r="E578" s="216"/>
      <c r="F578" s="216"/>
      <c r="G578" s="222"/>
      <c r="H578" s="216"/>
      <c r="I578" s="216"/>
      <c r="J578" s="216"/>
      <c r="K578" s="222"/>
    </row>
    <row r="579" spans="1:11" ht="12.75" customHeight="1" x14ac:dyDescent="0.25">
      <c r="A579" s="222"/>
      <c r="B579" s="222"/>
      <c r="C579" s="216"/>
      <c r="D579" s="216"/>
      <c r="E579" s="216"/>
      <c r="F579" s="216"/>
      <c r="G579" s="222"/>
      <c r="H579" s="216"/>
      <c r="I579" s="216"/>
      <c r="J579" s="216"/>
      <c r="K579" s="222"/>
    </row>
    <row r="580" spans="1:11" ht="12.75" customHeight="1" x14ac:dyDescent="0.25">
      <c r="A580" s="222"/>
      <c r="B580" s="222"/>
      <c r="C580" s="216"/>
      <c r="D580" s="216"/>
      <c r="E580" s="216"/>
      <c r="F580" s="216"/>
      <c r="G580" s="222"/>
      <c r="H580" s="216"/>
      <c r="I580" s="216"/>
      <c r="J580" s="216"/>
      <c r="K580" s="222"/>
    </row>
    <row r="581" spans="1:11" ht="12.75" customHeight="1" x14ac:dyDescent="0.25">
      <c r="A581" s="222"/>
      <c r="B581" s="222"/>
      <c r="C581" s="216"/>
      <c r="D581" s="216"/>
      <c r="E581" s="216"/>
      <c r="F581" s="216"/>
      <c r="G581" s="222"/>
      <c r="H581" s="216"/>
      <c r="I581" s="216"/>
      <c r="J581" s="216"/>
      <c r="K581" s="222"/>
    </row>
    <row r="582" spans="1:11" ht="12.75" customHeight="1" x14ac:dyDescent="0.25">
      <c r="A582" s="222"/>
      <c r="B582" s="222"/>
      <c r="C582" s="216"/>
      <c r="D582" s="216"/>
      <c r="E582" s="216"/>
      <c r="F582" s="216"/>
      <c r="G582" s="222"/>
      <c r="H582" s="216"/>
      <c r="I582" s="216"/>
      <c r="J582" s="216"/>
      <c r="K582" s="222"/>
    </row>
    <row r="583" spans="1:11" ht="12.75" customHeight="1" x14ac:dyDescent="0.25">
      <c r="A583" s="222"/>
      <c r="B583" s="222"/>
      <c r="C583" s="216"/>
      <c r="D583" s="216"/>
      <c r="E583" s="216"/>
      <c r="F583" s="216"/>
      <c r="G583" s="222"/>
      <c r="H583" s="216"/>
      <c r="I583" s="216"/>
      <c r="J583" s="216"/>
      <c r="K583" s="222"/>
    </row>
    <row r="584" spans="1:11" ht="12.75" customHeight="1" x14ac:dyDescent="0.25">
      <c r="A584" s="222"/>
      <c r="B584" s="222"/>
      <c r="C584" s="216"/>
      <c r="D584" s="216"/>
      <c r="E584" s="216"/>
      <c r="F584" s="216"/>
      <c r="G584" s="222"/>
      <c r="H584" s="216"/>
      <c r="I584" s="216"/>
      <c r="J584" s="216"/>
      <c r="K584" s="222"/>
    </row>
    <row r="585" spans="1:11" ht="12.75" customHeight="1" x14ac:dyDescent="0.25">
      <c r="A585" s="222"/>
      <c r="B585" s="222"/>
      <c r="C585" s="216"/>
      <c r="D585" s="216"/>
      <c r="E585" s="216"/>
      <c r="F585" s="216"/>
      <c r="G585" s="222"/>
      <c r="H585" s="216"/>
      <c r="I585" s="216"/>
      <c r="J585" s="216"/>
      <c r="K585" s="222"/>
    </row>
    <row r="586" spans="1:11" ht="12.75" customHeight="1" x14ac:dyDescent="0.25">
      <c r="A586" s="222"/>
      <c r="B586" s="222"/>
      <c r="C586" s="216"/>
      <c r="D586" s="216"/>
      <c r="E586" s="216"/>
      <c r="F586" s="216"/>
      <c r="G586" s="222"/>
      <c r="H586" s="216"/>
      <c r="I586" s="216"/>
      <c r="J586" s="216"/>
      <c r="K586" s="222"/>
    </row>
    <row r="587" spans="1:11" ht="12.75" customHeight="1" x14ac:dyDescent="0.25">
      <c r="A587" s="222"/>
      <c r="B587" s="222"/>
      <c r="C587" s="216"/>
      <c r="D587" s="216"/>
      <c r="E587" s="216"/>
      <c r="F587" s="216"/>
      <c r="G587" s="222"/>
      <c r="H587" s="216"/>
      <c r="I587" s="216"/>
      <c r="J587" s="216"/>
      <c r="K587" s="222"/>
    </row>
    <row r="588" spans="1:11" ht="12.75" customHeight="1" x14ac:dyDescent="0.25">
      <c r="A588" s="222"/>
      <c r="B588" s="222"/>
      <c r="C588" s="216"/>
      <c r="D588" s="216"/>
      <c r="E588" s="216"/>
      <c r="F588" s="216"/>
      <c r="G588" s="222"/>
      <c r="H588" s="216"/>
      <c r="I588" s="216"/>
      <c r="J588" s="216"/>
      <c r="K588" s="222"/>
    </row>
    <row r="589" spans="1:11" ht="12.75" customHeight="1" x14ac:dyDescent="0.25">
      <c r="A589" s="222"/>
      <c r="B589" s="222"/>
      <c r="C589" s="216"/>
      <c r="D589" s="216"/>
      <c r="E589" s="216"/>
      <c r="F589" s="216"/>
      <c r="G589" s="222"/>
      <c r="H589" s="216"/>
      <c r="I589" s="216"/>
      <c r="J589" s="216"/>
      <c r="K589" s="222"/>
    </row>
    <row r="590" spans="1:11" ht="12.75" customHeight="1" x14ac:dyDescent="0.25">
      <c r="A590" s="222"/>
      <c r="B590" s="222"/>
      <c r="C590" s="216"/>
      <c r="D590" s="216"/>
      <c r="E590" s="216"/>
      <c r="F590" s="216"/>
      <c r="G590" s="222"/>
      <c r="H590" s="216"/>
      <c r="I590" s="216"/>
      <c r="J590" s="216"/>
      <c r="K590" s="222"/>
    </row>
    <row r="591" spans="1:11" ht="12.75" customHeight="1" x14ac:dyDescent="0.25">
      <c r="A591" s="222"/>
      <c r="B591" s="222"/>
      <c r="C591" s="216"/>
      <c r="D591" s="216"/>
      <c r="E591" s="216"/>
      <c r="F591" s="216"/>
      <c r="G591" s="222"/>
      <c r="H591" s="216"/>
      <c r="I591" s="216"/>
      <c r="J591" s="216"/>
      <c r="K591" s="222"/>
    </row>
    <row r="592" spans="1:11" ht="12.75" customHeight="1" x14ac:dyDescent="0.25">
      <c r="A592" s="222"/>
      <c r="B592" s="222"/>
      <c r="C592" s="216"/>
      <c r="D592" s="216"/>
      <c r="E592" s="216"/>
      <c r="F592" s="216"/>
      <c r="G592" s="222"/>
      <c r="H592" s="216"/>
      <c r="I592" s="216"/>
      <c r="J592" s="216"/>
      <c r="K592" s="222"/>
    </row>
    <row r="593" spans="1:11" ht="12.75" customHeight="1" x14ac:dyDescent="0.25">
      <c r="A593" s="222"/>
      <c r="B593" s="222"/>
      <c r="C593" s="216"/>
      <c r="D593" s="216"/>
      <c r="E593" s="216"/>
      <c r="F593" s="216"/>
      <c r="G593" s="222"/>
      <c r="H593" s="216"/>
      <c r="I593" s="216"/>
      <c r="J593" s="216"/>
      <c r="K593" s="222"/>
    </row>
    <row r="594" spans="1:11" ht="12.75" customHeight="1" x14ac:dyDescent="0.25">
      <c r="A594" s="222"/>
      <c r="B594" s="222"/>
      <c r="C594" s="216"/>
      <c r="D594" s="216"/>
      <c r="E594" s="216"/>
      <c r="F594" s="216"/>
      <c r="G594" s="222"/>
      <c r="H594" s="216"/>
      <c r="I594" s="216"/>
      <c r="J594" s="216"/>
      <c r="K594" s="222"/>
    </row>
    <row r="595" spans="1:11" ht="12.75" customHeight="1" x14ac:dyDescent="0.25">
      <c r="A595" s="222"/>
      <c r="B595" s="222"/>
      <c r="C595" s="216"/>
      <c r="D595" s="216"/>
      <c r="E595" s="216"/>
      <c r="F595" s="216"/>
      <c r="G595" s="222"/>
      <c r="H595" s="216"/>
      <c r="I595" s="216"/>
      <c r="J595" s="216"/>
      <c r="K595" s="222"/>
    </row>
    <row r="596" spans="1:11" ht="12.75" customHeight="1" x14ac:dyDescent="0.25">
      <c r="A596" s="222"/>
      <c r="B596" s="222"/>
      <c r="C596" s="216"/>
      <c r="D596" s="216"/>
      <c r="E596" s="216"/>
      <c r="F596" s="216"/>
      <c r="G596" s="222"/>
      <c r="H596" s="216"/>
      <c r="I596" s="216"/>
      <c r="J596" s="216"/>
      <c r="K596" s="222"/>
    </row>
    <row r="597" spans="1:11" ht="12.75" customHeight="1" x14ac:dyDescent="0.25">
      <c r="A597" s="222"/>
      <c r="B597" s="222"/>
      <c r="C597" s="216"/>
      <c r="D597" s="216"/>
      <c r="E597" s="216"/>
      <c r="F597" s="216"/>
      <c r="G597" s="222"/>
      <c r="H597" s="216"/>
      <c r="I597" s="216"/>
      <c r="J597" s="216"/>
      <c r="K597" s="222"/>
    </row>
    <row r="598" spans="1:11" ht="12.75" customHeight="1" x14ac:dyDescent="0.25">
      <c r="A598" s="222"/>
      <c r="B598" s="222"/>
      <c r="C598" s="216"/>
      <c r="D598" s="216"/>
      <c r="E598" s="216"/>
      <c r="F598" s="216"/>
      <c r="G598" s="222"/>
      <c r="H598" s="216"/>
      <c r="I598" s="216"/>
      <c r="J598" s="216"/>
      <c r="K598" s="222"/>
    </row>
    <row r="599" spans="1:11" ht="12.75" customHeight="1" x14ac:dyDescent="0.25">
      <c r="A599" s="222"/>
      <c r="B599" s="222"/>
      <c r="C599" s="216"/>
      <c r="D599" s="216"/>
      <c r="E599" s="216"/>
      <c r="F599" s="216"/>
      <c r="G599" s="222"/>
      <c r="H599" s="216"/>
      <c r="I599" s="216"/>
      <c r="J599" s="216"/>
      <c r="K599" s="222"/>
    </row>
    <row r="600" spans="1:11" ht="12.75" customHeight="1" x14ac:dyDescent="0.25">
      <c r="A600" s="222"/>
      <c r="B600" s="222"/>
      <c r="C600" s="216"/>
      <c r="D600" s="216"/>
      <c r="E600" s="216"/>
      <c r="F600" s="216"/>
      <c r="G600" s="222"/>
      <c r="H600" s="216"/>
      <c r="I600" s="216"/>
      <c r="J600" s="216"/>
      <c r="K600" s="222"/>
    </row>
    <row r="601" spans="1:11" ht="12.75" customHeight="1" x14ac:dyDescent="0.25">
      <c r="A601" s="222"/>
      <c r="B601" s="222"/>
      <c r="C601" s="216"/>
      <c r="D601" s="216"/>
      <c r="E601" s="216"/>
      <c r="F601" s="216"/>
      <c r="G601" s="222"/>
      <c r="H601" s="216"/>
      <c r="I601" s="216"/>
      <c r="J601" s="216"/>
      <c r="K601" s="222"/>
    </row>
    <row r="602" spans="1:11" ht="12.75" customHeight="1" x14ac:dyDescent="0.25">
      <c r="A602" s="222"/>
      <c r="B602" s="222"/>
      <c r="C602" s="216"/>
      <c r="D602" s="216"/>
      <c r="E602" s="216"/>
      <c r="F602" s="216"/>
      <c r="G602" s="222"/>
      <c r="H602" s="216"/>
      <c r="I602" s="216"/>
      <c r="J602" s="216"/>
      <c r="K602" s="222"/>
    </row>
    <row r="603" spans="1:11" ht="12.75" customHeight="1" x14ac:dyDescent="0.25">
      <c r="A603" s="222"/>
      <c r="B603" s="222"/>
      <c r="C603" s="216"/>
      <c r="D603" s="216"/>
      <c r="E603" s="216"/>
      <c r="F603" s="216"/>
      <c r="G603" s="222"/>
      <c r="H603" s="216"/>
      <c r="I603" s="216"/>
      <c r="J603" s="216"/>
      <c r="K603" s="222"/>
    </row>
    <row r="604" spans="1:11" ht="12.75" customHeight="1" x14ac:dyDescent="0.25">
      <c r="A604" s="222"/>
      <c r="B604" s="222"/>
      <c r="C604" s="216"/>
      <c r="D604" s="216"/>
      <c r="E604" s="216"/>
      <c r="F604" s="216"/>
      <c r="G604" s="222"/>
      <c r="H604" s="216"/>
      <c r="I604" s="216"/>
      <c r="J604" s="216"/>
      <c r="K604" s="222"/>
    </row>
    <row r="605" spans="1:11" ht="12.75" customHeight="1" x14ac:dyDescent="0.25">
      <c r="A605" s="222"/>
      <c r="B605" s="222"/>
      <c r="C605" s="216"/>
      <c r="D605" s="216"/>
      <c r="E605" s="216"/>
      <c r="F605" s="216"/>
      <c r="G605" s="222"/>
      <c r="H605" s="216"/>
      <c r="I605" s="216"/>
      <c r="J605" s="216"/>
      <c r="K605" s="222"/>
    </row>
    <row r="606" spans="1:11" ht="12.75" customHeight="1" x14ac:dyDescent="0.25">
      <c r="A606" s="222"/>
      <c r="B606" s="222"/>
      <c r="C606" s="216"/>
      <c r="D606" s="216"/>
      <c r="E606" s="216"/>
      <c r="F606" s="216"/>
      <c r="G606" s="222"/>
      <c r="H606" s="216"/>
      <c r="I606" s="216"/>
      <c r="J606" s="216"/>
      <c r="K606" s="222"/>
    </row>
    <row r="607" spans="1:11" ht="12.75" customHeight="1" x14ac:dyDescent="0.25">
      <c r="A607" s="222"/>
      <c r="B607" s="222"/>
      <c r="C607" s="216"/>
      <c r="D607" s="216"/>
      <c r="E607" s="216"/>
      <c r="F607" s="216"/>
      <c r="G607" s="222"/>
      <c r="H607" s="216"/>
      <c r="I607" s="216"/>
      <c r="J607" s="216"/>
      <c r="K607" s="222"/>
    </row>
    <row r="608" spans="1:11" ht="12.75" customHeight="1" x14ac:dyDescent="0.25">
      <c r="A608" s="222"/>
      <c r="B608" s="222"/>
      <c r="C608" s="216"/>
      <c r="D608" s="216"/>
      <c r="E608" s="216"/>
      <c r="F608" s="216"/>
      <c r="G608" s="222"/>
      <c r="H608" s="216"/>
      <c r="I608" s="216"/>
      <c r="J608" s="216"/>
      <c r="K608" s="222"/>
    </row>
    <row r="609" spans="1:11" ht="12.75" customHeight="1" x14ac:dyDescent="0.25">
      <c r="A609" s="222"/>
      <c r="B609" s="222"/>
      <c r="C609" s="216"/>
      <c r="D609" s="216"/>
      <c r="E609" s="216"/>
      <c r="F609" s="216"/>
      <c r="G609" s="222"/>
      <c r="H609" s="216"/>
      <c r="I609" s="216"/>
      <c r="J609" s="216"/>
      <c r="K609" s="222"/>
    </row>
    <row r="610" spans="1:11" ht="12.75" customHeight="1" x14ac:dyDescent="0.25">
      <c r="A610" s="222"/>
      <c r="B610" s="222"/>
      <c r="C610" s="216"/>
      <c r="D610" s="216"/>
      <c r="E610" s="216"/>
      <c r="F610" s="216"/>
      <c r="G610" s="222"/>
      <c r="H610" s="216"/>
      <c r="I610" s="216"/>
      <c r="J610" s="216"/>
      <c r="K610" s="222"/>
    </row>
    <row r="611" spans="1:11" ht="12.75" customHeight="1" x14ac:dyDescent="0.25">
      <c r="A611" s="222"/>
      <c r="B611" s="222"/>
      <c r="C611" s="216"/>
      <c r="D611" s="216"/>
      <c r="E611" s="216"/>
      <c r="F611" s="216"/>
      <c r="G611" s="222"/>
      <c r="H611" s="216"/>
      <c r="I611" s="216"/>
      <c r="J611" s="216"/>
      <c r="K611" s="222"/>
    </row>
    <row r="612" spans="1:11" ht="12.75" customHeight="1" x14ac:dyDescent="0.25">
      <c r="A612" s="222"/>
      <c r="B612" s="222"/>
      <c r="C612" s="216"/>
      <c r="D612" s="216"/>
      <c r="E612" s="216"/>
      <c r="F612" s="216"/>
      <c r="G612" s="222"/>
      <c r="H612" s="216"/>
      <c r="I612" s="216"/>
      <c r="J612" s="216"/>
      <c r="K612" s="222"/>
    </row>
    <row r="613" spans="1:11" ht="12.75" customHeight="1" x14ac:dyDescent="0.25">
      <c r="A613" s="222"/>
      <c r="B613" s="222"/>
      <c r="C613" s="216"/>
      <c r="D613" s="216"/>
      <c r="E613" s="216"/>
      <c r="F613" s="216"/>
      <c r="G613" s="222"/>
      <c r="H613" s="216"/>
      <c r="I613" s="216"/>
      <c r="J613" s="216"/>
      <c r="K613" s="222"/>
    </row>
    <row r="614" spans="1:11" ht="12.75" customHeight="1" x14ac:dyDescent="0.25">
      <c r="A614" s="222"/>
      <c r="B614" s="222"/>
      <c r="C614" s="216"/>
      <c r="D614" s="216"/>
      <c r="E614" s="216"/>
      <c r="F614" s="216"/>
      <c r="G614" s="222"/>
      <c r="H614" s="216"/>
      <c r="I614" s="216"/>
      <c r="J614" s="216"/>
      <c r="K614" s="222"/>
    </row>
    <row r="615" spans="1:11" ht="12.75" customHeight="1" x14ac:dyDescent="0.25">
      <c r="A615" s="222"/>
      <c r="B615" s="222"/>
      <c r="C615" s="216"/>
      <c r="D615" s="216"/>
      <c r="E615" s="216"/>
      <c r="F615" s="216"/>
      <c r="G615" s="222"/>
      <c r="H615" s="216"/>
      <c r="I615" s="216"/>
      <c r="J615" s="216"/>
      <c r="K615" s="222"/>
    </row>
    <row r="616" spans="1:11" ht="12.75" customHeight="1" x14ac:dyDescent="0.25">
      <c r="A616" s="222"/>
      <c r="B616" s="222"/>
      <c r="C616" s="216"/>
      <c r="D616" s="216"/>
      <c r="E616" s="216"/>
      <c r="F616" s="216"/>
      <c r="G616" s="222"/>
      <c r="H616" s="216"/>
      <c r="I616" s="216"/>
      <c r="J616" s="216"/>
      <c r="K616" s="222"/>
    </row>
    <row r="617" spans="1:11" ht="12.75" customHeight="1" x14ac:dyDescent="0.25">
      <c r="A617" s="222"/>
      <c r="B617" s="222"/>
      <c r="C617" s="216"/>
      <c r="D617" s="216"/>
      <c r="E617" s="216"/>
      <c r="F617" s="216"/>
      <c r="G617" s="222"/>
      <c r="H617" s="216"/>
      <c r="I617" s="216"/>
      <c r="J617" s="216"/>
      <c r="K617" s="222"/>
    </row>
    <row r="618" spans="1:11" ht="12.75" customHeight="1" x14ac:dyDescent="0.25">
      <c r="A618" s="222"/>
      <c r="B618" s="222"/>
      <c r="C618" s="216"/>
      <c r="D618" s="216"/>
      <c r="E618" s="216"/>
      <c r="F618" s="216"/>
      <c r="G618" s="222"/>
      <c r="H618" s="216"/>
      <c r="I618" s="216"/>
      <c r="J618" s="216"/>
      <c r="K618" s="222"/>
    </row>
    <row r="619" spans="1:11" ht="12.75" customHeight="1" x14ac:dyDescent="0.25">
      <c r="A619" s="222"/>
      <c r="B619" s="222"/>
      <c r="C619" s="216"/>
      <c r="D619" s="216"/>
      <c r="E619" s="216"/>
      <c r="F619" s="216"/>
      <c r="G619" s="222"/>
      <c r="H619" s="216"/>
      <c r="I619" s="216"/>
      <c r="J619" s="216"/>
      <c r="K619" s="222"/>
    </row>
    <row r="620" spans="1:11" ht="12.75" customHeight="1" x14ac:dyDescent="0.25">
      <c r="A620" s="222"/>
      <c r="B620" s="222"/>
      <c r="C620" s="216"/>
      <c r="D620" s="216"/>
      <c r="E620" s="216"/>
      <c r="F620" s="216"/>
      <c r="G620" s="222"/>
      <c r="H620" s="216"/>
      <c r="I620" s="216"/>
      <c r="J620" s="216"/>
      <c r="K620" s="222"/>
    </row>
    <row r="621" spans="1:11" ht="12.75" customHeight="1" x14ac:dyDescent="0.25">
      <c r="A621" s="222"/>
      <c r="B621" s="222"/>
      <c r="C621" s="216"/>
      <c r="D621" s="216"/>
      <c r="E621" s="216"/>
      <c r="F621" s="216"/>
      <c r="G621" s="222"/>
      <c r="H621" s="216"/>
      <c r="I621" s="216"/>
      <c r="J621" s="216"/>
      <c r="K621" s="222"/>
    </row>
    <row r="622" spans="1:11" ht="12.75" customHeight="1" x14ac:dyDescent="0.25">
      <c r="A622" s="222"/>
      <c r="B622" s="222"/>
      <c r="C622" s="216"/>
      <c r="D622" s="216"/>
      <c r="E622" s="216"/>
      <c r="F622" s="216"/>
      <c r="G622" s="222"/>
      <c r="H622" s="216"/>
      <c r="I622" s="216"/>
      <c r="J622" s="216"/>
      <c r="K622" s="222"/>
    </row>
    <row r="623" spans="1:11" ht="12.75" customHeight="1" x14ac:dyDescent="0.25">
      <c r="A623" s="222"/>
      <c r="B623" s="222"/>
      <c r="C623" s="216"/>
      <c r="D623" s="216"/>
      <c r="E623" s="216"/>
      <c r="F623" s="216"/>
      <c r="G623" s="222"/>
      <c r="H623" s="216"/>
      <c r="I623" s="216"/>
      <c r="J623" s="216"/>
      <c r="K623" s="222"/>
    </row>
    <row r="624" spans="1:11" ht="12.75" customHeight="1" x14ac:dyDescent="0.25">
      <c r="A624" s="222"/>
      <c r="B624" s="222"/>
      <c r="C624" s="216"/>
      <c r="D624" s="216"/>
      <c r="E624" s="216"/>
      <c r="F624" s="216"/>
      <c r="G624" s="222"/>
      <c r="H624" s="216"/>
      <c r="I624" s="216"/>
      <c r="J624" s="216"/>
      <c r="K624" s="222"/>
    </row>
    <row r="625" spans="1:11" ht="12.75" customHeight="1" x14ac:dyDescent="0.25">
      <c r="A625" s="222"/>
      <c r="B625" s="222"/>
      <c r="C625" s="216"/>
      <c r="D625" s="216"/>
      <c r="E625" s="216"/>
      <c r="F625" s="216"/>
      <c r="G625" s="222"/>
      <c r="H625" s="216"/>
      <c r="I625" s="216"/>
      <c r="J625" s="216"/>
      <c r="K625" s="222"/>
    </row>
    <row r="626" spans="1:11" ht="12.75" customHeight="1" x14ac:dyDescent="0.25">
      <c r="A626" s="222"/>
      <c r="B626" s="222"/>
      <c r="C626" s="216"/>
      <c r="D626" s="216"/>
      <c r="E626" s="216"/>
      <c r="F626" s="216"/>
      <c r="G626" s="222"/>
      <c r="H626" s="216"/>
      <c r="I626" s="216"/>
      <c r="J626" s="216"/>
      <c r="K626" s="222"/>
    </row>
    <row r="627" spans="1:11" ht="12.75" customHeight="1" x14ac:dyDescent="0.25">
      <c r="A627" s="222"/>
      <c r="B627" s="222"/>
      <c r="C627" s="216"/>
      <c r="D627" s="216"/>
      <c r="E627" s="216"/>
      <c r="F627" s="216"/>
      <c r="G627" s="222"/>
      <c r="H627" s="216"/>
      <c r="I627" s="216"/>
      <c r="J627" s="216"/>
      <c r="K627" s="222"/>
    </row>
    <row r="628" spans="1:11" ht="12.75" customHeight="1" x14ac:dyDescent="0.25">
      <c r="A628" s="222"/>
      <c r="B628" s="222"/>
      <c r="C628" s="216"/>
      <c r="D628" s="216"/>
      <c r="E628" s="216"/>
      <c r="F628" s="216"/>
      <c r="G628" s="222"/>
      <c r="H628" s="216"/>
      <c r="I628" s="216"/>
      <c r="J628" s="216"/>
      <c r="K628" s="222"/>
    </row>
    <row r="629" spans="1:11" ht="12.75" customHeight="1" x14ac:dyDescent="0.25">
      <c r="A629" s="222"/>
      <c r="B629" s="222"/>
      <c r="C629" s="216"/>
      <c r="D629" s="216"/>
      <c r="E629" s="216"/>
      <c r="F629" s="216"/>
      <c r="G629" s="222"/>
      <c r="H629" s="216"/>
      <c r="I629" s="216"/>
      <c r="J629" s="216"/>
      <c r="K629" s="222"/>
    </row>
    <row r="630" spans="1:11" ht="12.75" customHeight="1" x14ac:dyDescent="0.25">
      <c r="A630" s="222"/>
      <c r="B630" s="222"/>
      <c r="C630" s="216"/>
      <c r="D630" s="216"/>
      <c r="E630" s="216"/>
      <c r="F630" s="216"/>
      <c r="G630" s="222"/>
      <c r="H630" s="216"/>
      <c r="I630" s="216"/>
      <c r="J630" s="216"/>
      <c r="K630" s="222"/>
    </row>
    <row r="631" spans="1:11" ht="12.75" customHeight="1" x14ac:dyDescent="0.25">
      <c r="A631" s="222"/>
      <c r="B631" s="222"/>
      <c r="C631" s="216"/>
      <c r="D631" s="216"/>
      <c r="E631" s="216"/>
      <c r="F631" s="216"/>
      <c r="G631" s="222"/>
      <c r="H631" s="216"/>
      <c r="I631" s="216"/>
      <c r="J631" s="216"/>
      <c r="K631" s="222"/>
    </row>
    <row r="632" spans="1:11" ht="12.75" customHeight="1" x14ac:dyDescent="0.25">
      <c r="A632" s="222"/>
      <c r="B632" s="222"/>
      <c r="C632" s="216"/>
      <c r="D632" s="216"/>
      <c r="E632" s="216"/>
      <c r="F632" s="216"/>
      <c r="G632" s="222"/>
      <c r="H632" s="216"/>
      <c r="I632" s="216"/>
      <c r="J632" s="216"/>
      <c r="K632" s="222"/>
    </row>
    <row r="633" spans="1:11" ht="12.75" customHeight="1" x14ac:dyDescent="0.25">
      <c r="A633" s="222"/>
      <c r="B633" s="222"/>
      <c r="C633" s="216"/>
      <c r="D633" s="216"/>
      <c r="E633" s="216"/>
      <c r="F633" s="216"/>
      <c r="G633" s="222"/>
      <c r="H633" s="216"/>
      <c r="I633" s="216"/>
      <c r="J633" s="216"/>
      <c r="K633" s="222"/>
    </row>
    <row r="634" spans="1:11" ht="12.75" customHeight="1" x14ac:dyDescent="0.25">
      <c r="A634" s="222"/>
      <c r="B634" s="222"/>
      <c r="C634" s="216"/>
      <c r="D634" s="216"/>
      <c r="E634" s="216"/>
      <c r="F634" s="216"/>
      <c r="G634" s="222"/>
      <c r="H634" s="216"/>
      <c r="I634" s="216"/>
      <c r="J634" s="216"/>
      <c r="K634" s="222"/>
    </row>
    <row r="635" spans="1:11" ht="12.75" customHeight="1" x14ac:dyDescent="0.25">
      <c r="A635" s="222"/>
      <c r="B635" s="222"/>
      <c r="C635" s="216"/>
      <c r="D635" s="216"/>
      <c r="E635" s="216"/>
      <c r="F635" s="216"/>
      <c r="G635" s="222"/>
      <c r="H635" s="216"/>
      <c r="I635" s="216"/>
      <c r="J635" s="216"/>
      <c r="K635" s="222"/>
    </row>
    <row r="636" spans="1:11" ht="12.75" customHeight="1" x14ac:dyDescent="0.25">
      <c r="A636" s="222"/>
      <c r="B636" s="222"/>
      <c r="C636" s="216"/>
      <c r="D636" s="216"/>
      <c r="E636" s="216"/>
      <c r="F636" s="216"/>
      <c r="G636" s="222"/>
      <c r="H636" s="216"/>
      <c r="I636" s="216"/>
      <c r="J636" s="216"/>
      <c r="K636" s="222"/>
    </row>
    <row r="637" spans="1:11" ht="12.75" customHeight="1" x14ac:dyDescent="0.25">
      <c r="A637" s="222"/>
      <c r="B637" s="222"/>
      <c r="C637" s="216"/>
      <c r="D637" s="216"/>
      <c r="E637" s="216"/>
      <c r="F637" s="216"/>
      <c r="G637" s="222"/>
      <c r="H637" s="216"/>
      <c r="I637" s="216"/>
      <c r="J637" s="216"/>
      <c r="K637" s="222"/>
    </row>
    <row r="638" spans="1:11" ht="12.75" customHeight="1" x14ac:dyDescent="0.25">
      <c r="A638" s="222"/>
      <c r="B638" s="222"/>
      <c r="C638" s="216"/>
      <c r="D638" s="216"/>
      <c r="E638" s="216"/>
      <c r="F638" s="216"/>
      <c r="G638" s="222"/>
      <c r="H638" s="216"/>
      <c r="I638" s="216"/>
      <c r="J638" s="216"/>
      <c r="K638" s="222"/>
    </row>
    <row r="639" spans="1:11" ht="12.75" customHeight="1" x14ac:dyDescent="0.25">
      <c r="A639" s="222"/>
      <c r="B639" s="222"/>
      <c r="C639" s="216"/>
      <c r="D639" s="216"/>
      <c r="E639" s="216"/>
      <c r="F639" s="216"/>
      <c r="G639" s="222"/>
      <c r="H639" s="216"/>
      <c r="I639" s="216"/>
      <c r="J639" s="216"/>
      <c r="K639" s="222"/>
    </row>
    <row r="640" spans="1:11" ht="12.75" customHeight="1" x14ac:dyDescent="0.25">
      <c r="A640" s="222"/>
      <c r="B640" s="222"/>
      <c r="C640" s="216"/>
      <c r="D640" s="216"/>
      <c r="E640" s="216"/>
      <c r="F640" s="216"/>
      <c r="G640" s="222"/>
      <c r="H640" s="216"/>
      <c r="I640" s="216"/>
      <c r="J640" s="216"/>
      <c r="K640" s="222"/>
    </row>
    <row r="641" spans="1:11" ht="12.75" customHeight="1" x14ac:dyDescent="0.25">
      <c r="A641" s="222"/>
      <c r="B641" s="222"/>
      <c r="C641" s="216"/>
      <c r="D641" s="216"/>
      <c r="E641" s="216"/>
      <c r="F641" s="216"/>
      <c r="G641" s="222"/>
      <c r="H641" s="216"/>
      <c r="I641" s="216"/>
      <c r="J641" s="216"/>
      <c r="K641" s="222"/>
    </row>
    <row r="642" spans="1:11" ht="12.75" customHeight="1" x14ac:dyDescent="0.25">
      <c r="A642" s="222"/>
      <c r="B642" s="222"/>
      <c r="C642" s="216"/>
      <c r="D642" s="216"/>
      <c r="E642" s="216"/>
      <c r="F642" s="216"/>
      <c r="G642" s="222"/>
      <c r="H642" s="216"/>
      <c r="I642" s="216"/>
      <c r="J642" s="216"/>
      <c r="K642" s="222"/>
    </row>
    <row r="643" spans="1:11" ht="12.75" customHeight="1" x14ac:dyDescent="0.25">
      <c r="A643" s="222"/>
      <c r="B643" s="222"/>
      <c r="C643" s="216"/>
      <c r="D643" s="216"/>
      <c r="E643" s="216"/>
      <c r="F643" s="216"/>
      <c r="G643" s="222"/>
      <c r="H643" s="216"/>
      <c r="I643" s="216"/>
      <c r="J643" s="216"/>
      <c r="K643" s="222"/>
    </row>
    <row r="644" spans="1:11" ht="12.75" customHeight="1" x14ac:dyDescent="0.25">
      <c r="A644" s="222"/>
      <c r="B644" s="222"/>
      <c r="C644" s="216"/>
      <c r="D644" s="216"/>
      <c r="E644" s="216"/>
      <c r="F644" s="216"/>
      <c r="G644" s="222"/>
      <c r="H644" s="216"/>
      <c r="I644" s="216"/>
      <c r="J644" s="216"/>
      <c r="K644" s="222"/>
    </row>
    <row r="645" spans="1:11" ht="12.75" customHeight="1" x14ac:dyDescent="0.25">
      <c r="A645" s="222"/>
      <c r="B645" s="222"/>
      <c r="C645" s="216"/>
      <c r="D645" s="216"/>
      <c r="E645" s="216"/>
      <c r="F645" s="216"/>
      <c r="G645" s="222"/>
      <c r="H645" s="216"/>
      <c r="I645" s="216"/>
      <c r="J645" s="216"/>
      <c r="K645" s="222"/>
    </row>
    <row r="646" spans="1:11" ht="12.75" customHeight="1" x14ac:dyDescent="0.25">
      <c r="A646" s="222"/>
      <c r="B646" s="222"/>
      <c r="C646" s="216"/>
      <c r="D646" s="216"/>
      <c r="E646" s="216"/>
      <c r="F646" s="216"/>
      <c r="G646" s="222"/>
      <c r="H646" s="216"/>
      <c r="I646" s="216"/>
      <c r="J646" s="216"/>
      <c r="K646" s="222"/>
    </row>
    <row r="647" spans="1:11" ht="12.75" customHeight="1" x14ac:dyDescent="0.25">
      <c r="A647" s="222"/>
      <c r="B647" s="222"/>
      <c r="C647" s="216"/>
      <c r="D647" s="216"/>
      <c r="E647" s="216"/>
      <c r="F647" s="216"/>
      <c r="G647" s="222"/>
      <c r="H647" s="216"/>
      <c r="I647" s="216"/>
      <c r="J647" s="216"/>
      <c r="K647" s="222"/>
    </row>
    <row r="648" spans="1:11" ht="12.75" customHeight="1" x14ac:dyDescent="0.25">
      <c r="A648" s="222"/>
      <c r="B648" s="222"/>
      <c r="C648" s="216"/>
      <c r="D648" s="216"/>
      <c r="E648" s="216"/>
      <c r="F648" s="216"/>
      <c r="G648" s="222"/>
      <c r="H648" s="216"/>
      <c r="I648" s="216"/>
      <c r="J648" s="216"/>
      <c r="K648" s="222"/>
    </row>
    <row r="649" spans="1:11" ht="12.75" customHeight="1" x14ac:dyDescent="0.25">
      <c r="A649" s="222"/>
      <c r="B649" s="222"/>
      <c r="C649" s="216"/>
      <c r="D649" s="216"/>
      <c r="E649" s="216"/>
      <c r="F649" s="216"/>
      <c r="G649" s="222"/>
      <c r="H649" s="216"/>
      <c r="I649" s="216"/>
      <c r="J649" s="216"/>
      <c r="K649" s="222"/>
    </row>
    <row r="650" spans="1:11" ht="12.75" customHeight="1" x14ac:dyDescent="0.25">
      <c r="A650" s="222"/>
      <c r="B650" s="222"/>
      <c r="C650" s="216"/>
      <c r="D650" s="216"/>
      <c r="E650" s="216"/>
      <c r="F650" s="216"/>
      <c r="G650" s="222"/>
      <c r="H650" s="216"/>
      <c r="I650" s="216"/>
      <c r="J650" s="216"/>
      <c r="K650" s="222"/>
    </row>
    <row r="651" spans="1:11" ht="12.75" customHeight="1" x14ac:dyDescent="0.25">
      <c r="A651" s="222"/>
      <c r="B651" s="222"/>
      <c r="C651" s="216"/>
      <c r="D651" s="216"/>
      <c r="E651" s="216"/>
      <c r="F651" s="216"/>
      <c r="G651" s="222"/>
      <c r="H651" s="216"/>
      <c r="I651" s="216"/>
      <c r="J651" s="216"/>
      <c r="K651" s="222"/>
    </row>
    <row r="652" spans="1:11" ht="12.75" customHeight="1" x14ac:dyDescent="0.25">
      <c r="A652" s="222"/>
      <c r="B652" s="222"/>
      <c r="C652" s="216"/>
      <c r="D652" s="216"/>
      <c r="E652" s="216"/>
      <c r="F652" s="216"/>
      <c r="G652" s="222"/>
      <c r="H652" s="216"/>
      <c r="I652" s="216"/>
      <c r="J652" s="216"/>
      <c r="K652" s="222"/>
    </row>
    <row r="653" spans="1:11" ht="12.75" customHeight="1" x14ac:dyDescent="0.25">
      <c r="A653" s="222"/>
      <c r="B653" s="222"/>
      <c r="C653" s="216"/>
      <c r="D653" s="216"/>
      <c r="E653" s="216"/>
      <c r="F653" s="216"/>
      <c r="G653" s="222"/>
      <c r="H653" s="216"/>
      <c r="I653" s="216"/>
      <c r="J653" s="216"/>
      <c r="K653" s="222"/>
    </row>
    <row r="654" spans="1:11" ht="12.75" customHeight="1" x14ac:dyDescent="0.25">
      <c r="A654" s="222"/>
      <c r="B654" s="222"/>
      <c r="C654" s="216"/>
      <c r="D654" s="216"/>
      <c r="E654" s="216"/>
      <c r="F654" s="216"/>
      <c r="G654" s="222"/>
      <c r="H654" s="216"/>
      <c r="I654" s="216"/>
      <c r="J654" s="216"/>
      <c r="K654" s="222"/>
    </row>
    <row r="655" spans="1:11" ht="12.75" customHeight="1" x14ac:dyDescent="0.25">
      <c r="A655" s="222"/>
      <c r="B655" s="222"/>
      <c r="C655" s="216"/>
      <c r="D655" s="216"/>
      <c r="E655" s="216"/>
      <c r="F655" s="216"/>
      <c r="G655" s="222"/>
      <c r="H655" s="216"/>
      <c r="I655" s="216"/>
      <c r="J655" s="216"/>
      <c r="K655" s="222"/>
    </row>
    <row r="656" spans="1:11" ht="12.75" customHeight="1" x14ac:dyDescent="0.25">
      <c r="A656" s="222"/>
      <c r="B656" s="222"/>
      <c r="C656" s="216"/>
      <c r="D656" s="216"/>
      <c r="E656" s="216"/>
      <c r="F656" s="216"/>
      <c r="G656" s="222"/>
      <c r="H656" s="216"/>
      <c r="I656" s="216"/>
      <c r="J656" s="216"/>
      <c r="K656" s="222"/>
    </row>
    <row r="657" spans="1:11" ht="12.75" customHeight="1" x14ac:dyDescent="0.25">
      <c r="A657" s="222"/>
      <c r="B657" s="222"/>
      <c r="C657" s="216"/>
      <c r="D657" s="216"/>
      <c r="E657" s="216"/>
      <c r="F657" s="216"/>
      <c r="G657" s="222"/>
      <c r="H657" s="216"/>
      <c r="I657" s="216"/>
      <c r="J657" s="216"/>
      <c r="K657" s="222"/>
    </row>
    <row r="658" spans="1:11" ht="12.75" customHeight="1" x14ac:dyDescent="0.25">
      <c r="A658" s="222"/>
      <c r="B658" s="222"/>
      <c r="C658" s="216"/>
      <c r="D658" s="216"/>
      <c r="E658" s="216"/>
      <c r="F658" s="216"/>
      <c r="G658" s="222"/>
      <c r="H658" s="216"/>
      <c r="I658" s="216"/>
      <c r="J658" s="216"/>
      <c r="K658" s="222"/>
    </row>
    <row r="659" spans="1:11" ht="12.75" customHeight="1" x14ac:dyDescent="0.25">
      <c r="A659" s="222"/>
      <c r="B659" s="222"/>
      <c r="C659" s="216"/>
      <c r="D659" s="216"/>
      <c r="E659" s="216"/>
      <c r="F659" s="216"/>
      <c r="G659" s="222"/>
      <c r="H659" s="216"/>
      <c r="I659" s="216"/>
      <c r="J659" s="216"/>
      <c r="K659" s="222"/>
    </row>
    <row r="660" spans="1:11" ht="12.75" customHeight="1" x14ac:dyDescent="0.25">
      <c r="A660" s="222"/>
      <c r="B660" s="222"/>
      <c r="C660" s="216"/>
      <c r="D660" s="216"/>
      <c r="E660" s="216"/>
      <c r="F660" s="216"/>
      <c r="G660" s="222"/>
      <c r="H660" s="216"/>
      <c r="I660" s="216"/>
      <c r="J660" s="216"/>
      <c r="K660" s="222"/>
    </row>
    <row r="661" spans="1:11" ht="12.75" customHeight="1" x14ac:dyDescent="0.25">
      <c r="A661" s="222"/>
      <c r="B661" s="222"/>
      <c r="C661" s="216"/>
      <c r="D661" s="216"/>
      <c r="E661" s="216"/>
      <c r="F661" s="216"/>
      <c r="G661" s="222"/>
      <c r="H661" s="216"/>
      <c r="I661" s="216"/>
      <c r="J661" s="216"/>
      <c r="K661" s="222"/>
    </row>
    <row r="662" spans="1:11" ht="12.75" customHeight="1" x14ac:dyDescent="0.25">
      <c r="A662" s="222"/>
      <c r="B662" s="222"/>
      <c r="C662" s="216"/>
      <c r="D662" s="216"/>
      <c r="E662" s="216"/>
      <c r="F662" s="216"/>
      <c r="G662" s="222"/>
      <c r="H662" s="216"/>
      <c r="I662" s="216"/>
      <c r="J662" s="216"/>
      <c r="K662" s="222"/>
    </row>
    <row r="663" spans="1:11" ht="12.75" customHeight="1" x14ac:dyDescent="0.25">
      <c r="A663" s="222"/>
      <c r="B663" s="222"/>
      <c r="C663" s="216"/>
      <c r="D663" s="216"/>
      <c r="E663" s="216"/>
      <c r="F663" s="216"/>
      <c r="G663" s="222"/>
      <c r="H663" s="216"/>
      <c r="I663" s="216"/>
      <c r="J663" s="216"/>
      <c r="K663" s="222"/>
    </row>
    <row r="664" spans="1:11" ht="12.75" customHeight="1" x14ac:dyDescent="0.25">
      <c r="A664" s="222"/>
      <c r="B664" s="222"/>
      <c r="C664" s="216"/>
      <c r="D664" s="216"/>
      <c r="E664" s="216"/>
      <c r="F664" s="216"/>
      <c r="G664" s="222"/>
      <c r="H664" s="216"/>
      <c r="I664" s="216"/>
      <c r="J664" s="216"/>
      <c r="K664" s="222"/>
    </row>
    <row r="665" spans="1:11" ht="12.75" customHeight="1" x14ac:dyDescent="0.25">
      <c r="A665" s="222"/>
      <c r="B665" s="222"/>
      <c r="C665" s="216"/>
      <c r="D665" s="216"/>
      <c r="E665" s="216"/>
      <c r="F665" s="216"/>
      <c r="G665" s="222"/>
      <c r="H665" s="216"/>
      <c r="I665" s="216"/>
      <c r="J665" s="216"/>
      <c r="K665" s="222"/>
    </row>
    <row r="666" spans="1:11" ht="12.75" customHeight="1" x14ac:dyDescent="0.25">
      <c r="A666" s="222"/>
      <c r="B666" s="222"/>
      <c r="C666" s="216"/>
      <c r="D666" s="216"/>
      <c r="E666" s="216"/>
      <c r="F666" s="216"/>
      <c r="G666" s="222"/>
      <c r="H666" s="216"/>
      <c r="I666" s="216"/>
      <c r="J666" s="216"/>
      <c r="K666" s="222"/>
    </row>
    <row r="667" spans="1:11" ht="12.75" customHeight="1" x14ac:dyDescent="0.25">
      <c r="A667" s="222"/>
      <c r="B667" s="222"/>
      <c r="C667" s="216"/>
      <c r="D667" s="216"/>
      <c r="E667" s="216"/>
      <c r="F667" s="216"/>
      <c r="G667" s="222"/>
      <c r="H667" s="216"/>
      <c r="I667" s="216"/>
      <c r="J667" s="216"/>
      <c r="K667" s="222"/>
    </row>
    <row r="668" spans="1:11" ht="12.75" customHeight="1" x14ac:dyDescent="0.25">
      <c r="A668" s="222"/>
      <c r="B668" s="222"/>
      <c r="C668" s="216"/>
      <c r="D668" s="216"/>
      <c r="E668" s="216"/>
      <c r="F668" s="216"/>
      <c r="G668" s="222"/>
      <c r="H668" s="216"/>
      <c r="I668" s="216"/>
      <c r="J668" s="216"/>
      <c r="K668" s="222"/>
    </row>
    <row r="669" spans="1:11" ht="12.75" customHeight="1" x14ac:dyDescent="0.25">
      <c r="A669" s="222"/>
      <c r="B669" s="222"/>
      <c r="C669" s="216"/>
      <c r="D669" s="216"/>
      <c r="E669" s="216"/>
      <c r="F669" s="216"/>
      <c r="G669" s="222"/>
      <c r="H669" s="216"/>
      <c r="I669" s="216"/>
      <c r="J669" s="216"/>
      <c r="K669" s="222"/>
    </row>
    <row r="670" spans="1:11" ht="12.75" customHeight="1" x14ac:dyDescent="0.25">
      <c r="A670" s="222"/>
      <c r="B670" s="222"/>
      <c r="C670" s="216"/>
      <c r="D670" s="216"/>
      <c r="E670" s="216"/>
      <c r="F670" s="216"/>
      <c r="G670" s="222"/>
      <c r="H670" s="216"/>
      <c r="I670" s="216"/>
      <c r="J670" s="216"/>
      <c r="K670" s="222"/>
    </row>
    <row r="671" spans="1:11" ht="12.75" customHeight="1" x14ac:dyDescent="0.25">
      <c r="A671" s="222"/>
      <c r="B671" s="222"/>
      <c r="C671" s="216"/>
      <c r="D671" s="216"/>
      <c r="E671" s="216"/>
      <c r="F671" s="216"/>
      <c r="G671" s="222"/>
      <c r="H671" s="216"/>
      <c r="I671" s="216"/>
      <c r="J671" s="216"/>
      <c r="K671" s="222"/>
    </row>
    <row r="672" spans="1:11" ht="12.75" customHeight="1" x14ac:dyDescent="0.25">
      <c r="A672" s="222"/>
      <c r="B672" s="222"/>
      <c r="C672" s="216"/>
      <c r="D672" s="216"/>
      <c r="E672" s="216"/>
      <c r="F672" s="216"/>
      <c r="G672" s="222"/>
      <c r="H672" s="216"/>
      <c r="I672" s="216"/>
      <c r="J672" s="216"/>
      <c r="K672" s="222"/>
    </row>
    <row r="673" spans="1:11" ht="12.75" customHeight="1" x14ac:dyDescent="0.25">
      <c r="A673" s="222"/>
      <c r="B673" s="222"/>
      <c r="C673" s="216"/>
      <c r="D673" s="216"/>
      <c r="E673" s="216"/>
      <c r="F673" s="216"/>
      <c r="G673" s="222"/>
      <c r="H673" s="216"/>
      <c r="I673" s="216"/>
      <c r="J673" s="216"/>
      <c r="K673" s="222"/>
    </row>
    <row r="674" spans="1:11" ht="12.75" customHeight="1" x14ac:dyDescent="0.25">
      <c r="A674" s="222"/>
      <c r="B674" s="222"/>
      <c r="C674" s="216"/>
      <c r="D674" s="216"/>
      <c r="E674" s="216"/>
      <c r="F674" s="216"/>
      <c r="G674" s="222"/>
      <c r="H674" s="216"/>
      <c r="I674" s="216"/>
      <c r="J674" s="216"/>
      <c r="K674" s="222"/>
    </row>
    <row r="675" spans="1:11" ht="12.75" customHeight="1" x14ac:dyDescent="0.25">
      <c r="A675" s="222"/>
      <c r="B675" s="222"/>
      <c r="C675" s="216"/>
      <c r="D675" s="216"/>
      <c r="E675" s="216"/>
      <c r="F675" s="216"/>
      <c r="G675" s="222"/>
      <c r="H675" s="216"/>
      <c r="I675" s="216"/>
      <c r="J675" s="216"/>
      <c r="K675" s="222"/>
    </row>
    <row r="676" spans="1:11" ht="12.75" customHeight="1" x14ac:dyDescent="0.25">
      <c r="A676" s="222"/>
      <c r="B676" s="222"/>
      <c r="C676" s="216"/>
      <c r="D676" s="216"/>
      <c r="E676" s="216"/>
      <c r="F676" s="216"/>
      <c r="G676" s="222"/>
      <c r="H676" s="216"/>
      <c r="I676" s="216"/>
      <c r="J676" s="216"/>
      <c r="K676" s="222"/>
    </row>
    <row r="677" spans="1:11" ht="12.75" customHeight="1" x14ac:dyDescent="0.25">
      <c r="A677" s="222"/>
      <c r="B677" s="222"/>
      <c r="C677" s="216"/>
      <c r="D677" s="216"/>
      <c r="E677" s="216"/>
      <c r="F677" s="216"/>
      <c r="G677" s="222"/>
      <c r="H677" s="216"/>
      <c r="I677" s="216"/>
      <c r="J677" s="216"/>
      <c r="K677" s="222"/>
    </row>
    <row r="678" spans="1:11" ht="12.75" customHeight="1" x14ac:dyDescent="0.25">
      <c r="A678" s="222"/>
      <c r="B678" s="222"/>
      <c r="C678" s="216"/>
      <c r="D678" s="216"/>
      <c r="E678" s="216"/>
      <c r="F678" s="216"/>
      <c r="G678" s="222"/>
      <c r="H678" s="216"/>
      <c r="I678" s="216"/>
      <c r="J678" s="216"/>
      <c r="K678" s="222"/>
    </row>
    <row r="679" spans="1:11" ht="12.75" customHeight="1" x14ac:dyDescent="0.25">
      <c r="A679" s="222"/>
      <c r="B679" s="222"/>
      <c r="C679" s="216"/>
      <c r="D679" s="216"/>
      <c r="E679" s="216"/>
      <c r="F679" s="216"/>
      <c r="G679" s="222"/>
      <c r="H679" s="216"/>
      <c r="I679" s="216"/>
      <c r="J679" s="216"/>
      <c r="K679" s="222"/>
    </row>
    <row r="680" spans="1:11" ht="12.75" customHeight="1" x14ac:dyDescent="0.25">
      <c r="A680" s="222"/>
      <c r="B680" s="222"/>
      <c r="C680" s="216"/>
      <c r="D680" s="216"/>
      <c r="E680" s="216"/>
      <c r="F680" s="216"/>
      <c r="G680" s="222"/>
      <c r="H680" s="216"/>
      <c r="I680" s="216"/>
      <c r="J680" s="216"/>
      <c r="K680" s="222"/>
    </row>
    <row r="681" spans="1:11" ht="12.75" customHeight="1" x14ac:dyDescent="0.25">
      <c r="A681" s="222"/>
      <c r="B681" s="222"/>
      <c r="C681" s="216"/>
      <c r="D681" s="216"/>
      <c r="E681" s="216"/>
      <c r="F681" s="216"/>
      <c r="G681" s="222"/>
      <c r="H681" s="216"/>
      <c r="I681" s="216"/>
      <c r="J681" s="216"/>
      <c r="K681" s="222"/>
    </row>
    <row r="682" spans="1:11" ht="12.75" customHeight="1" x14ac:dyDescent="0.25">
      <c r="A682" s="222"/>
      <c r="B682" s="222"/>
      <c r="C682" s="216"/>
      <c r="D682" s="216"/>
      <c r="E682" s="216"/>
      <c r="F682" s="216"/>
      <c r="G682" s="222"/>
      <c r="H682" s="216"/>
      <c r="I682" s="216"/>
      <c r="J682" s="216"/>
      <c r="K682" s="222"/>
    </row>
    <row r="683" spans="1:11" ht="12.75" customHeight="1" x14ac:dyDescent="0.25">
      <c r="A683" s="222"/>
      <c r="B683" s="222"/>
      <c r="C683" s="216"/>
      <c r="D683" s="216"/>
      <c r="E683" s="216"/>
      <c r="F683" s="216"/>
      <c r="G683" s="222"/>
      <c r="H683" s="216"/>
      <c r="I683" s="216"/>
      <c r="J683" s="216"/>
      <c r="K683" s="222"/>
    </row>
    <row r="684" spans="1:11" ht="12.75" customHeight="1" x14ac:dyDescent="0.25">
      <c r="A684" s="222"/>
      <c r="B684" s="222"/>
      <c r="C684" s="216"/>
      <c r="D684" s="216"/>
      <c r="E684" s="216"/>
      <c r="F684" s="216"/>
      <c r="G684" s="222"/>
      <c r="H684" s="216"/>
      <c r="I684" s="216"/>
      <c r="J684" s="216"/>
      <c r="K684" s="222"/>
    </row>
    <row r="685" spans="1:11" ht="12.75" customHeight="1" x14ac:dyDescent="0.25">
      <c r="A685" s="222"/>
      <c r="B685" s="222"/>
      <c r="C685" s="216"/>
      <c r="D685" s="216"/>
      <c r="E685" s="216"/>
      <c r="F685" s="216"/>
      <c r="G685" s="222"/>
      <c r="H685" s="216"/>
      <c r="I685" s="216"/>
      <c r="J685" s="216"/>
      <c r="K685" s="222"/>
    </row>
    <row r="686" spans="1:11" ht="12.75" customHeight="1" x14ac:dyDescent="0.25">
      <c r="A686" s="222"/>
      <c r="B686" s="222"/>
      <c r="C686" s="216"/>
      <c r="D686" s="216"/>
      <c r="E686" s="216"/>
      <c r="F686" s="216"/>
      <c r="G686" s="222"/>
      <c r="H686" s="216"/>
      <c r="I686" s="216"/>
      <c r="J686" s="216"/>
      <c r="K686" s="222"/>
    </row>
    <row r="687" spans="1:11" ht="12.75" customHeight="1" x14ac:dyDescent="0.25">
      <c r="A687" s="222"/>
      <c r="B687" s="222"/>
      <c r="C687" s="216"/>
      <c r="D687" s="216"/>
      <c r="E687" s="216"/>
      <c r="F687" s="216"/>
      <c r="G687" s="222"/>
      <c r="H687" s="216"/>
      <c r="I687" s="216"/>
      <c r="J687" s="216"/>
      <c r="K687" s="222"/>
    </row>
    <row r="688" spans="1:11" ht="12.75" customHeight="1" x14ac:dyDescent="0.25">
      <c r="A688" s="222"/>
      <c r="B688" s="222"/>
      <c r="C688" s="216"/>
      <c r="D688" s="216"/>
      <c r="E688" s="216"/>
      <c r="F688" s="216"/>
      <c r="G688" s="222"/>
      <c r="H688" s="216"/>
      <c r="I688" s="216"/>
      <c r="J688" s="216"/>
      <c r="K688" s="222"/>
    </row>
    <row r="689" spans="1:11" ht="12.75" customHeight="1" x14ac:dyDescent="0.25">
      <c r="A689" s="222"/>
      <c r="B689" s="222"/>
      <c r="C689" s="216"/>
      <c r="D689" s="216"/>
      <c r="E689" s="216"/>
      <c r="F689" s="216"/>
      <c r="G689" s="222"/>
      <c r="H689" s="216"/>
      <c r="I689" s="216"/>
      <c r="J689" s="216"/>
      <c r="K689" s="222"/>
    </row>
    <row r="690" spans="1:11" ht="12.75" customHeight="1" x14ac:dyDescent="0.25">
      <c r="A690" s="222"/>
      <c r="B690" s="222"/>
      <c r="C690" s="216"/>
      <c r="D690" s="216"/>
      <c r="E690" s="216"/>
      <c r="F690" s="216"/>
      <c r="G690" s="222"/>
      <c r="H690" s="216"/>
      <c r="I690" s="216"/>
      <c r="J690" s="216"/>
      <c r="K690" s="222"/>
    </row>
    <row r="691" spans="1:11" ht="12.75" customHeight="1" x14ac:dyDescent="0.25">
      <c r="A691" s="222"/>
      <c r="B691" s="222"/>
      <c r="C691" s="216"/>
      <c r="D691" s="216"/>
      <c r="E691" s="216"/>
      <c r="F691" s="216"/>
      <c r="G691" s="222"/>
      <c r="H691" s="216"/>
      <c r="I691" s="216"/>
      <c r="J691" s="216"/>
      <c r="K691" s="222"/>
    </row>
    <row r="692" spans="1:11" ht="12.75" customHeight="1" x14ac:dyDescent="0.25">
      <c r="A692" s="222"/>
      <c r="B692" s="222"/>
      <c r="C692" s="216"/>
      <c r="D692" s="216"/>
      <c r="E692" s="216"/>
      <c r="F692" s="216"/>
      <c r="G692" s="222"/>
      <c r="H692" s="216"/>
      <c r="I692" s="216"/>
      <c r="J692" s="216"/>
      <c r="K692" s="222"/>
    </row>
    <row r="693" spans="1:11" ht="12.75" customHeight="1" x14ac:dyDescent="0.25">
      <c r="A693" s="222"/>
      <c r="B693" s="222"/>
      <c r="C693" s="216"/>
      <c r="D693" s="216"/>
      <c r="E693" s="216"/>
      <c r="F693" s="216"/>
      <c r="G693" s="222"/>
      <c r="H693" s="216"/>
      <c r="I693" s="216"/>
      <c r="J693" s="216"/>
      <c r="K693" s="222"/>
    </row>
    <row r="694" spans="1:11" ht="12.75" customHeight="1" x14ac:dyDescent="0.25">
      <c r="A694" s="222"/>
      <c r="B694" s="222"/>
      <c r="C694" s="216"/>
      <c r="D694" s="216"/>
      <c r="E694" s="216"/>
      <c r="F694" s="216"/>
      <c r="G694" s="222"/>
      <c r="H694" s="216"/>
      <c r="I694" s="216"/>
      <c r="J694" s="216"/>
      <c r="K694" s="222"/>
    </row>
    <row r="695" spans="1:11" ht="12.75" customHeight="1" x14ac:dyDescent="0.25">
      <c r="A695" s="222"/>
      <c r="B695" s="222"/>
      <c r="C695" s="216"/>
      <c r="D695" s="216"/>
      <c r="E695" s="216"/>
      <c r="F695" s="216"/>
      <c r="G695" s="222"/>
      <c r="H695" s="216"/>
      <c r="I695" s="216"/>
      <c r="J695" s="216"/>
      <c r="K695" s="222"/>
    </row>
    <row r="696" spans="1:11" ht="12.75" customHeight="1" x14ac:dyDescent="0.25">
      <c r="A696" s="222"/>
      <c r="B696" s="222"/>
      <c r="C696" s="216"/>
      <c r="D696" s="216"/>
      <c r="E696" s="216"/>
      <c r="F696" s="216"/>
      <c r="G696" s="222"/>
      <c r="H696" s="216"/>
      <c r="I696" s="216"/>
      <c r="J696" s="216"/>
      <c r="K696" s="222"/>
    </row>
    <row r="697" spans="1:11" ht="12.75" customHeight="1" x14ac:dyDescent="0.25">
      <c r="A697" s="222"/>
      <c r="B697" s="222"/>
      <c r="C697" s="216"/>
      <c r="D697" s="216"/>
      <c r="E697" s="216"/>
      <c r="F697" s="216"/>
      <c r="G697" s="222"/>
      <c r="H697" s="216"/>
      <c r="I697" s="216"/>
      <c r="J697" s="216"/>
      <c r="K697" s="222"/>
    </row>
    <row r="698" spans="1:11" ht="12.75" customHeight="1" x14ac:dyDescent="0.25">
      <c r="A698" s="222"/>
      <c r="B698" s="222"/>
      <c r="C698" s="216"/>
      <c r="D698" s="216"/>
      <c r="E698" s="216"/>
      <c r="F698" s="216"/>
      <c r="G698" s="222"/>
      <c r="H698" s="216"/>
      <c r="I698" s="216"/>
      <c r="J698" s="216"/>
      <c r="K698" s="222"/>
    </row>
    <row r="699" spans="1:11" ht="12.75" customHeight="1" x14ac:dyDescent="0.25">
      <c r="A699" s="222"/>
      <c r="B699" s="222"/>
      <c r="C699" s="216"/>
      <c r="D699" s="216"/>
      <c r="E699" s="216"/>
      <c r="F699" s="216"/>
      <c r="G699" s="222"/>
      <c r="H699" s="216"/>
      <c r="I699" s="216"/>
      <c r="J699" s="216"/>
      <c r="K699" s="222"/>
    </row>
    <row r="700" spans="1:11" ht="12.75" customHeight="1" x14ac:dyDescent="0.25">
      <c r="A700" s="222"/>
      <c r="B700" s="222"/>
      <c r="C700" s="216"/>
      <c r="D700" s="216"/>
      <c r="E700" s="216"/>
      <c r="F700" s="216"/>
      <c r="G700" s="222"/>
      <c r="H700" s="216"/>
      <c r="I700" s="216"/>
      <c r="J700" s="216"/>
      <c r="K700" s="222"/>
    </row>
    <row r="701" spans="1:11" ht="12.75" customHeight="1" x14ac:dyDescent="0.25">
      <c r="A701" s="222"/>
      <c r="B701" s="222"/>
      <c r="C701" s="216"/>
      <c r="D701" s="216"/>
      <c r="E701" s="216"/>
      <c r="F701" s="216"/>
      <c r="G701" s="222"/>
      <c r="H701" s="216"/>
      <c r="I701" s="216"/>
      <c r="J701" s="216"/>
      <c r="K701" s="222"/>
    </row>
    <row r="702" spans="1:11" ht="12.75" customHeight="1" x14ac:dyDescent="0.25">
      <c r="A702" s="222"/>
      <c r="B702" s="222"/>
      <c r="C702" s="216"/>
      <c r="D702" s="216"/>
      <c r="E702" s="216"/>
      <c r="F702" s="216"/>
      <c r="G702" s="222"/>
      <c r="H702" s="216"/>
      <c r="I702" s="216"/>
      <c r="J702" s="216"/>
      <c r="K702" s="222"/>
    </row>
    <row r="703" spans="1:11" ht="12.75" customHeight="1" x14ac:dyDescent="0.25">
      <c r="A703" s="222"/>
      <c r="B703" s="222"/>
      <c r="C703" s="216"/>
      <c r="D703" s="216"/>
      <c r="E703" s="216"/>
      <c r="F703" s="216"/>
      <c r="G703" s="222"/>
      <c r="H703" s="216"/>
      <c r="I703" s="216"/>
      <c r="J703" s="216"/>
      <c r="K703" s="222"/>
    </row>
    <row r="704" spans="1:11" ht="12.75" customHeight="1" x14ac:dyDescent="0.25">
      <c r="A704" s="222"/>
      <c r="B704" s="222"/>
      <c r="C704" s="216"/>
      <c r="D704" s="216"/>
      <c r="E704" s="216"/>
      <c r="F704" s="216"/>
      <c r="G704" s="222"/>
      <c r="H704" s="216"/>
      <c r="I704" s="216"/>
      <c r="J704" s="216"/>
      <c r="K704" s="222"/>
    </row>
    <row r="705" spans="1:11" ht="12.75" customHeight="1" x14ac:dyDescent="0.25">
      <c r="A705" s="222"/>
      <c r="B705" s="222"/>
      <c r="C705" s="216"/>
      <c r="D705" s="216"/>
      <c r="E705" s="216"/>
      <c r="F705" s="216"/>
      <c r="G705" s="222"/>
      <c r="H705" s="216"/>
      <c r="I705" s="216"/>
      <c r="J705" s="216"/>
      <c r="K705" s="222"/>
    </row>
    <row r="706" spans="1:11" ht="12.75" customHeight="1" x14ac:dyDescent="0.25">
      <c r="A706" s="222"/>
      <c r="B706" s="222"/>
      <c r="C706" s="216"/>
      <c r="D706" s="216"/>
      <c r="E706" s="216"/>
      <c r="F706" s="216"/>
      <c r="G706" s="222"/>
      <c r="H706" s="216"/>
      <c r="I706" s="216"/>
      <c r="J706" s="216"/>
      <c r="K706" s="222"/>
    </row>
    <row r="707" spans="1:11" ht="12.75" customHeight="1" x14ac:dyDescent="0.25">
      <c r="A707" s="222"/>
      <c r="B707" s="222"/>
      <c r="C707" s="216"/>
      <c r="D707" s="216"/>
      <c r="E707" s="216"/>
      <c r="F707" s="216"/>
      <c r="G707" s="222"/>
      <c r="H707" s="216"/>
      <c r="I707" s="216"/>
      <c r="J707" s="216"/>
      <c r="K707" s="222"/>
    </row>
    <row r="708" spans="1:11" ht="12.75" customHeight="1" x14ac:dyDescent="0.25">
      <c r="A708" s="222"/>
      <c r="B708" s="222"/>
      <c r="C708" s="216"/>
      <c r="D708" s="216"/>
      <c r="E708" s="216"/>
      <c r="F708" s="216"/>
      <c r="G708" s="222"/>
      <c r="H708" s="216"/>
      <c r="I708" s="216"/>
      <c r="J708" s="216"/>
      <c r="K708" s="222"/>
    </row>
    <row r="709" spans="1:11" ht="12.75" customHeight="1" x14ac:dyDescent="0.25">
      <c r="A709" s="222"/>
      <c r="B709" s="222"/>
      <c r="C709" s="216"/>
      <c r="D709" s="216"/>
      <c r="E709" s="216"/>
      <c r="F709" s="216"/>
      <c r="G709" s="222"/>
      <c r="H709" s="216"/>
      <c r="I709" s="216"/>
      <c r="J709" s="216"/>
      <c r="K709" s="222"/>
    </row>
    <row r="710" spans="1:11" ht="12.75" customHeight="1" x14ac:dyDescent="0.25">
      <c r="A710" s="222"/>
      <c r="B710" s="222"/>
      <c r="C710" s="216"/>
      <c r="D710" s="216"/>
      <c r="E710" s="216"/>
      <c r="F710" s="216"/>
      <c r="G710" s="222"/>
      <c r="H710" s="216"/>
      <c r="I710" s="216"/>
      <c r="J710" s="216"/>
      <c r="K710" s="222"/>
    </row>
    <row r="711" spans="1:11" ht="12.75" customHeight="1" x14ac:dyDescent="0.25">
      <c r="A711" s="222"/>
      <c r="B711" s="222"/>
      <c r="C711" s="216"/>
      <c r="D711" s="216"/>
      <c r="E711" s="216"/>
      <c r="F711" s="216"/>
      <c r="G711" s="222"/>
      <c r="H711" s="216"/>
      <c r="I711" s="216"/>
      <c r="J711" s="216"/>
      <c r="K711" s="222"/>
    </row>
    <row r="712" spans="1:11" ht="12.75" customHeight="1" x14ac:dyDescent="0.25">
      <c r="A712" s="222"/>
      <c r="B712" s="222"/>
      <c r="C712" s="216"/>
      <c r="D712" s="216"/>
      <c r="E712" s="216"/>
      <c r="F712" s="216"/>
      <c r="G712" s="222"/>
      <c r="H712" s="216"/>
      <c r="I712" s="216"/>
      <c r="J712" s="216"/>
      <c r="K712" s="222"/>
    </row>
    <row r="713" spans="1:11" ht="12.75" customHeight="1" x14ac:dyDescent="0.25">
      <c r="A713" s="222"/>
      <c r="B713" s="222"/>
      <c r="C713" s="216"/>
      <c r="D713" s="216"/>
      <c r="E713" s="216"/>
      <c r="F713" s="216"/>
      <c r="G713" s="222"/>
      <c r="H713" s="216"/>
      <c r="I713" s="216"/>
      <c r="J713" s="216"/>
      <c r="K713" s="222"/>
    </row>
    <row r="714" spans="1:11" ht="12.75" customHeight="1" x14ac:dyDescent="0.25">
      <c r="A714" s="222"/>
      <c r="B714" s="222"/>
      <c r="C714" s="216"/>
      <c r="D714" s="216"/>
      <c r="E714" s="216"/>
      <c r="F714" s="216"/>
      <c r="G714" s="222"/>
      <c r="H714" s="216"/>
      <c r="I714" s="216"/>
      <c r="J714" s="216"/>
      <c r="K714" s="222"/>
    </row>
    <row r="715" spans="1:11" ht="12.75" customHeight="1" x14ac:dyDescent="0.25">
      <c r="A715" s="222"/>
      <c r="B715" s="222"/>
      <c r="C715" s="216"/>
      <c r="D715" s="216"/>
      <c r="E715" s="216"/>
      <c r="F715" s="216"/>
      <c r="G715" s="222"/>
      <c r="H715" s="216"/>
      <c r="I715" s="216"/>
      <c r="J715" s="216"/>
      <c r="K715" s="222"/>
    </row>
    <row r="716" spans="1:11" ht="12.75" customHeight="1" x14ac:dyDescent="0.25">
      <c r="A716" s="222"/>
      <c r="B716" s="222"/>
      <c r="C716" s="216"/>
      <c r="D716" s="216"/>
      <c r="E716" s="216"/>
      <c r="F716" s="216"/>
      <c r="G716" s="222"/>
      <c r="H716" s="216"/>
      <c r="I716" s="216"/>
      <c r="J716" s="216"/>
      <c r="K716" s="222"/>
    </row>
    <row r="717" spans="1:11" ht="12.75" customHeight="1" x14ac:dyDescent="0.25">
      <c r="A717" s="222"/>
      <c r="B717" s="222"/>
      <c r="C717" s="216"/>
      <c r="D717" s="216"/>
      <c r="E717" s="216"/>
      <c r="F717" s="216"/>
      <c r="G717" s="222"/>
      <c r="H717" s="216"/>
      <c r="I717" s="216"/>
      <c r="J717" s="216"/>
      <c r="K717" s="222"/>
    </row>
    <row r="718" spans="1:11" ht="12.75" customHeight="1" x14ac:dyDescent="0.25">
      <c r="A718" s="222"/>
      <c r="B718" s="222"/>
      <c r="C718" s="216"/>
      <c r="D718" s="216"/>
      <c r="E718" s="216"/>
      <c r="F718" s="216"/>
      <c r="G718" s="222"/>
      <c r="H718" s="216"/>
      <c r="I718" s="216"/>
      <c r="J718" s="216"/>
      <c r="K718" s="222"/>
    </row>
    <row r="719" spans="1:11" ht="12.75" customHeight="1" x14ac:dyDescent="0.25">
      <c r="A719" s="222"/>
      <c r="B719" s="222"/>
      <c r="C719" s="216"/>
      <c r="D719" s="216"/>
      <c r="E719" s="216"/>
      <c r="F719" s="216"/>
      <c r="G719" s="222"/>
      <c r="H719" s="216"/>
      <c r="I719" s="216"/>
      <c r="J719" s="216"/>
      <c r="K719" s="222"/>
    </row>
    <row r="720" spans="1:11" ht="12.75" customHeight="1" x14ac:dyDescent="0.25">
      <c r="A720" s="222"/>
      <c r="B720" s="222"/>
      <c r="C720" s="216"/>
      <c r="D720" s="216"/>
      <c r="E720" s="216"/>
      <c r="F720" s="216"/>
      <c r="G720" s="222"/>
      <c r="H720" s="216"/>
      <c r="I720" s="216"/>
      <c r="J720" s="216"/>
      <c r="K720" s="222"/>
    </row>
    <row r="721" spans="1:11" ht="12.75" customHeight="1" x14ac:dyDescent="0.25">
      <c r="A721" s="222"/>
      <c r="B721" s="222"/>
      <c r="C721" s="216"/>
      <c r="D721" s="216"/>
      <c r="E721" s="216"/>
      <c r="F721" s="216"/>
      <c r="G721" s="222"/>
      <c r="H721" s="216"/>
      <c r="I721" s="216"/>
      <c r="J721" s="216"/>
      <c r="K721" s="222"/>
    </row>
    <row r="722" spans="1:11" ht="12.75" customHeight="1" x14ac:dyDescent="0.25">
      <c r="A722" s="222"/>
      <c r="B722" s="222"/>
      <c r="C722" s="216"/>
      <c r="D722" s="216"/>
      <c r="E722" s="216"/>
      <c r="F722" s="216"/>
      <c r="G722" s="222"/>
      <c r="H722" s="216"/>
      <c r="I722" s="216"/>
      <c r="J722" s="216"/>
      <c r="K722" s="222"/>
    </row>
    <row r="723" spans="1:11" ht="12.75" customHeight="1" x14ac:dyDescent="0.25">
      <c r="A723" s="222"/>
      <c r="B723" s="222"/>
      <c r="C723" s="216"/>
      <c r="D723" s="216"/>
      <c r="E723" s="216"/>
      <c r="F723" s="216"/>
      <c r="G723" s="222"/>
      <c r="H723" s="216"/>
      <c r="I723" s="216"/>
      <c r="J723" s="216"/>
      <c r="K723" s="222"/>
    </row>
    <row r="724" spans="1:11" ht="12.75" customHeight="1" x14ac:dyDescent="0.25">
      <c r="A724" s="222"/>
      <c r="B724" s="222"/>
      <c r="C724" s="216"/>
      <c r="D724" s="216"/>
      <c r="E724" s="216"/>
      <c r="F724" s="216"/>
      <c r="G724" s="222"/>
      <c r="H724" s="216"/>
      <c r="I724" s="216"/>
      <c r="J724" s="216"/>
      <c r="K724" s="222"/>
    </row>
    <row r="725" spans="1:11" ht="12.75" customHeight="1" x14ac:dyDescent="0.25">
      <c r="A725" s="222"/>
      <c r="B725" s="222"/>
      <c r="C725" s="216"/>
      <c r="D725" s="216"/>
      <c r="E725" s="216"/>
      <c r="F725" s="216"/>
      <c r="G725" s="222"/>
      <c r="H725" s="216"/>
      <c r="I725" s="216"/>
      <c r="J725" s="216"/>
      <c r="K725" s="222"/>
    </row>
    <row r="726" spans="1:11" ht="12.75" customHeight="1" x14ac:dyDescent="0.25">
      <c r="A726" s="222"/>
      <c r="B726" s="222"/>
      <c r="C726" s="216"/>
      <c r="D726" s="216"/>
      <c r="E726" s="216"/>
      <c r="F726" s="216"/>
      <c r="G726" s="222"/>
      <c r="H726" s="216"/>
      <c r="I726" s="216"/>
      <c r="J726" s="216"/>
      <c r="K726" s="222"/>
    </row>
    <row r="727" spans="1:11" ht="12.75" customHeight="1" x14ac:dyDescent="0.25">
      <c r="A727" s="222"/>
      <c r="B727" s="222"/>
      <c r="C727" s="216"/>
      <c r="D727" s="216"/>
      <c r="E727" s="216"/>
      <c r="F727" s="216"/>
      <c r="G727" s="222"/>
      <c r="H727" s="216"/>
      <c r="I727" s="216"/>
      <c r="J727" s="216"/>
      <c r="K727" s="222"/>
    </row>
    <row r="728" spans="1:11" ht="12.75" customHeight="1" x14ac:dyDescent="0.25">
      <c r="A728" s="222"/>
      <c r="B728" s="222"/>
      <c r="C728" s="216"/>
      <c r="D728" s="216"/>
      <c r="E728" s="216"/>
      <c r="F728" s="216"/>
      <c r="G728" s="222"/>
      <c r="H728" s="216"/>
      <c r="I728" s="216"/>
      <c r="J728" s="216"/>
      <c r="K728" s="222"/>
    </row>
    <row r="729" spans="1:11" ht="12.75" customHeight="1" x14ac:dyDescent="0.25">
      <c r="A729" s="222"/>
      <c r="B729" s="222"/>
      <c r="C729" s="216"/>
      <c r="D729" s="216"/>
      <c r="E729" s="216"/>
      <c r="F729" s="216"/>
      <c r="G729" s="222"/>
      <c r="H729" s="216"/>
      <c r="I729" s="216"/>
      <c r="J729" s="216"/>
      <c r="K729" s="222"/>
    </row>
    <row r="730" spans="1:11" ht="12.75" customHeight="1" x14ac:dyDescent="0.25">
      <c r="A730" s="222"/>
      <c r="B730" s="222"/>
      <c r="C730" s="216"/>
      <c r="D730" s="216"/>
      <c r="E730" s="216"/>
      <c r="F730" s="216"/>
      <c r="G730" s="222"/>
      <c r="H730" s="216"/>
      <c r="I730" s="216"/>
      <c r="J730" s="216"/>
      <c r="K730" s="222"/>
    </row>
    <row r="731" spans="1:11" ht="12.75" customHeight="1" x14ac:dyDescent="0.25">
      <c r="A731" s="222"/>
      <c r="B731" s="222"/>
      <c r="C731" s="216"/>
      <c r="D731" s="216"/>
      <c r="E731" s="216"/>
      <c r="F731" s="216"/>
      <c r="G731" s="222"/>
      <c r="H731" s="216"/>
      <c r="I731" s="216"/>
      <c r="J731" s="216"/>
      <c r="K731" s="222"/>
    </row>
    <row r="732" spans="1:11" ht="12.75" customHeight="1" x14ac:dyDescent="0.25">
      <c r="A732" s="222"/>
      <c r="B732" s="222"/>
      <c r="C732" s="216"/>
      <c r="D732" s="216"/>
      <c r="E732" s="216"/>
      <c r="F732" s="216"/>
      <c r="G732" s="222"/>
      <c r="H732" s="216"/>
      <c r="I732" s="216"/>
      <c r="J732" s="216"/>
      <c r="K732" s="222"/>
    </row>
    <row r="733" spans="1:11" ht="12.75" customHeight="1" x14ac:dyDescent="0.25">
      <c r="A733" s="222"/>
      <c r="B733" s="222"/>
      <c r="C733" s="216"/>
      <c r="D733" s="216"/>
      <c r="E733" s="216"/>
      <c r="F733" s="216"/>
      <c r="G733" s="222"/>
      <c r="H733" s="216"/>
      <c r="I733" s="216"/>
      <c r="J733" s="216"/>
      <c r="K733" s="222"/>
    </row>
    <row r="734" spans="1:11" ht="12.75" customHeight="1" x14ac:dyDescent="0.25">
      <c r="A734" s="222"/>
      <c r="B734" s="222"/>
      <c r="C734" s="216"/>
      <c r="D734" s="216"/>
      <c r="E734" s="216"/>
      <c r="F734" s="216"/>
      <c r="G734" s="222"/>
      <c r="H734" s="216"/>
      <c r="I734" s="216"/>
      <c r="J734" s="216"/>
      <c r="K734" s="222"/>
    </row>
    <row r="735" spans="1:11" ht="12.75" customHeight="1" x14ac:dyDescent="0.25">
      <c r="A735" s="222"/>
      <c r="B735" s="222"/>
      <c r="C735" s="216"/>
      <c r="D735" s="216"/>
      <c r="E735" s="216"/>
      <c r="F735" s="216"/>
      <c r="G735" s="222"/>
      <c r="H735" s="216"/>
      <c r="I735" s="216"/>
      <c r="J735" s="216"/>
      <c r="K735" s="222"/>
    </row>
    <row r="736" spans="1:11" ht="12.75" customHeight="1" x14ac:dyDescent="0.25">
      <c r="A736" s="222"/>
      <c r="B736" s="222"/>
      <c r="C736" s="216"/>
      <c r="D736" s="216"/>
      <c r="E736" s="216"/>
      <c r="F736" s="216"/>
      <c r="G736" s="222"/>
      <c r="H736" s="216"/>
      <c r="I736" s="216"/>
      <c r="J736" s="216"/>
      <c r="K736" s="222"/>
    </row>
    <row r="737" spans="1:11" ht="12.75" customHeight="1" x14ac:dyDescent="0.25">
      <c r="A737" s="222"/>
      <c r="B737" s="222"/>
      <c r="C737" s="216"/>
      <c r="D737" s="216"/>
      <c r="E737" s="216"/>
      <c r="F737" s="216"/>
      <c r="G737" s="222"/>
      <c r="H737" s="216"/>
      <c r="I737" s="216"/>
      <c r="J737" s="216"/>
      <c r="K737" s="222"/>
    </row>
    <row r="738" spans="1:11" ht="12.75" customHeight="1" x14ac:dyDescent="0.25">
      <c r="A738" s="222"/>
      <c r="B738" s="222"/>
      <c r="C738" s="216"/>
      <c r="D738" s="216"/>
      <c r="E738" s="216"/>
      <c r="F738" s="216"/>
      <c r="G738" s="222"/>
      <c r="H738" s="216"/>
      <c r="I738" s="216"/>
      <c r="J738" s="216"/>
      <c r="K738" s="222"/>
    </row>
    <row r="739" spans="1:11" ht="12.75" customHeight="1" x14ac:dyDescent="0.25">
      <c r="A739" s="222"/>
      <c r="B739" s="222"/>
      <c r="C739" s="216"/>
      <c r="D739" s="216"/>
      <c r="E739" s="216"/>
      <c r="F739" s="216"/>
      <c r="G739" s="222"/>
      <c r="H739" s="216"/>
      <c r="I739" s="216"/>
      <c r="J739" s="216"/>
      <c r="K739" s="222"/>
    </row>
    <row r="740" spans="1:11" ht="12.75" customHeight="1" x14ac:dyDescent="0.25">
      <c r="A740" s="222"/>
      <c r="B740" s="222"/>
      <c r="C740" s="216"/>
      <c r="D740" s="216"/>
      <c r="E740" s="216"/>
      <c r="F740" s="216"/>
      <c r="G740" s="222"/>
      <c r="H740" s="216"/>
      <c r="I740" s="216"/>
      <c r="J740" s="216"/>
      <c r="K740" s="222"/>
    </row>
    <row r="741" spans="1:11" ht="12.75" customHeight="1" x14ac:dyDescent="0.25">
      <c r="A741" s="222"/>
      <c r="B741" s="222"/>
      <c r="C741" s="216"/>
      <c r="D741" s="216"/>
      <c r="E741" s="216"/>
      <c r="F741" s="216"/>
      <c r="G741" s="222"/>
      <c r="H741" s="216"/>
      <c r="I741" s="216"/>
      <c r="J741" s="216"/>
      <c r="K741" s="222"/>
    </row>
    <row r="742" spans="1:11" ht="12.75" customHeight="1" x14ac:dyDescent="0.25">
      <c r="A742" s="222"/>
      <c r="B742" s="222"/>
      <c r="C742" s="216"/>
      <c r="D742" s="216"/>
      <c r="E742" s="216"/>
      <c r="F742" s="216"/>
      <c r="G742" s="222"/>
      <c r="H742" s="216"/>
      <c r="I742" s="216"/>
      <c r="J742" s="216"/>
      <c r="K742" s="222"/>
    </row>
    <row r="743" spans="1:11" ht="12.75" customHeight="1" x14ac:dyDescent="0.25">
      <c r="A743" s="222"/>
      <c r="B743" s="222"/>
      <c r="C743" s="216"/>
      <c r="D743" s="216"/>
      <c r="E743" s="216"/>
      <c r="F743" s="216"/>
      <c r="G743" s="222"/>
      <c r="H743" s="216"/>
      <c r="I743" s="216"/>
      <c r="J743" s="216"/>
      <c r="K743" s="222"/>
    </row>
    <row r="744" spans="1:11" ht="12.75" customHeight="1" x14ac:dyDescent="0.25">
      <c r="A744" s="222"/>
      <c r="B744" s="222"/>
      <c r="C744" s="216"/>
      <c r="D744" s="216"/>
      <c r="E744" s="216"/>
      <c r="F744" s="216"/>
      <c r="G744" s="222"/>
      <c r="H744" s="216"/>
      <c r="I744" s="216"/>
      <c r="J744" s="216"/>
      <c r="K744" s="222"/>
    </row>
    <row r="745" spans="1:11" ht="12.75" customHeight="1" x14ac:dyDescent="0.25">
      <c r="A745" s="222"/>
      <c r="B745" s="222"/>
      <c r="C745" s="216"/>
      <c r="D745" s="216"/>
      <c r="E745" s="216"/>
      <c r="F745" s="216"/>
      <c r="G745" s="222"/>
      <c r="H745" s="216"/>
      <c r="I745" s="216"/>
      <c r="J745" s="216"/>
      <c r="K745" s="222"/>
    </row>
    <row r="746" spans="1:11" ht="12.75" customHeight="1" x14ac:dyDescent="0.25">
      <c r="A746" s="222"/>
      <c r="B746" s="222"/>
      <c r="C746" s="216"/>
      <c r="D746" s="216"/>
      <c r="E746" s="216"/>
      <c r="F746" s="216"/>
      <c r="G746" s="222"/>
      <c r="H746" s="216"/>
      <c r="I746" s="216"/>
      <c r="J746" s="216"/>
      <c r="K746" s="222"/>
    </row>
    <row r="747" spans="1:11" ht="12.75" customHeight="1" x14ac:dyDescent="0.25">
      <c r="A747" s="222"/>
      <c r="B747" s="222"/>
      <c r="C747" s="216"/>
      <c r="D747" s="216"/>
      <c r="E747" s="216"/>
      <c r="F747" s="216"/>
      <c r="G747" s="222"/>
      <c r="H747" s="216"/>
      <c r="I747" s="216"/>
      <c r="J747" s="216"/>
      <c r="K747" s="222"/>
    </row>
    <row r="748" spans="1:11" ht="12.75" customHeight="1" x14ac:dyDescent="0.25">
      <c r="A748" s="222"/>
      <c r="B748" s="222"/>
      <c r="C748" s="216"/>
      <c r="D748" s="216"/>
      <c r="E748" s="216"/>
      <c r="F748" s="216"/>
      <c r="G748" s="222"/>
      <c r="H748" s="216"/>
      <c r="I748" s="216"/>
      <c r="J748" s="216"/>
      <c r="K748" s="222"/>
    </row>
    <row r="749" spans="1:11" ht="12.75" customHeight="1" x14ac:dyDescent="0.25">
      <c r="A749" s="222"/>
      <c r="B749" s="222"/>
      <c r="C749" s="216"/>
      <c r="D749" s="216"/>
      <c r="E749" s="216"/>
      <c r="F749" s="216"/>
      <c r="G749" s="222"/>
      <c r="H749" s="216"/>
      <c r="I749" s="216"/>
      <c r="J749" s="216"/>
      <c r="K749" s="222"/>
    </row>
    <row r="750" spans="1:11" ht="12.75" customHeight="1" x14ac:dyDescent="0.25">
      <c r="A750" s="222"/>
      <c r="B750" s="222"/>
      <c r="C750" s="216"/>
      <c r="D750" s="216"/>
      <c r="E750" s="216"/>
      <c r="F750" s="216"/>
      <c r="G750" s="222"/>
      <c r="H750" s="216"/>
      <c r="I750" s="216"/>
      <c r="J750" s="216"/>
      <c r="K750" s="222"/>
    </row>
    <row r="751" spans="1:11" ht="12.75" customHeight="1" x14ac:dyDescent="0.25">
      <c r="A751" s="222"/>
      <c r="B751" s="222"/>
      <c r="C751" s="216"/>
      <c r="D751" s="216"/>
      <c r="E751" s="216"/>
      <c r="F751" s="216"/>
      <c r="G751" s="222"/>
      <c r="H751" s="216"/>
      <c r="I751" s="216"/>
      <c r="J751" s="216"/>
      <c r="K751" s="222"/>
    </row>
    <row r="752" spans="1:11" ht="12.75" customHeight="1" x14ac:dyDescent="0.25">
      <c r="A752" s="222"/>
      <c r="B752" s="222"/>
      <c r="C752" s="216"/>
      <c r="D752" s="216"/>
      <c r="E752" s="216"/>
      <c r="F752" s="216"/>
      <c r="G752" s="222"/>
      <c r="H752" s="216"/>
      <c r="I752" s="216"/>
      <c r="J752" s="216"/>
      <c r="K752" s="222"/>
    </row>
    <row r="753" spans="1:11" ht="12.75" customHeight="1" x14ac:dyDescent="0.25">
      <c r="A753" s="222"/>
      <c r="B753" s="222"/>
      <c r="C753" s="216"/>
      <c r="D753" s="216"/>
      <c r="E753" s="216"/>
      <c r="F753" s="216"/>
      <c r="G753" s="222"/>
      <c r="H753" s="216"/>
      <c r="I753" s="216"/>
      <c r="J753" s="216"/>
      <c r="K753" s="222"/>
    </row>
    <row r="754" spans="1:11" ht="12.75" customHeight="1" x14ac:dyDescent="0.25">
      <c r="A754" s="222"/>
      <c r="B754" s="222"/>
      <c r="C754" s="216"/>
      <c r="D754" s="216"/>
      <c r="E754" s="216"/>
      <c r="F754" s="216"/>
      <c r="G754" s="222"/>
      <c r="H754" s="216"/>
      <c r="I754" s="216"/>
      <c r="J754" s="216"/>
      <c r="K754" s="222"/>
    </row>
    <row r="755" spans="1:11" ht="12.75" customHeight="1" x14ac:dyDescent="0.25">
      <c r="A755" s="222"/>
      <c r="B755" s="222"/>
      <c r="C755" s="216"/>
      <c r="D755" s="216"/>
      <c r="E755" s="216"/>
      <c r="F755" s="216"/>
      <c r="G755" s="222"/>
      <c r="H755" s="216"/>
      <c r="I755" s="216"/>
      <c r="J755" s="216"/>
      <c r="K755" s="222"/>
    </row>
    <row r="756" spans="1:11" ht="12.75" customHeight="1" x14ac:dyDescent="0.25">
      <c r="A756" s="222"/>
      <c r="B756" s="222"/>
      <c r="C756" s="216"/>
      <c r="D756" s="216"/>
      <c r="E756" s="216"/>
      <c r="F756" s="216"/>
      <c r="G756" s="222"/>
      <c r="H756" s="216"/>
      <c r="I756" s="216"/>
      <c r="J756" s="216"/>
      <c r="K756" s="222"/>
    </row>
    <row r="757" spans="1:11" ht="12.75" customHeight="1" x14ac:dyDescent="0.25">
      <c r="A757" s="222"/>
      <c r="B757" s="222"/>
      <c r="C757" s="216"/>
      <c r="D757" s="216"/>
      <c r="E757" s="216"/>
      <c r="F757" s="216"/>
      <c r="G757" s="222"/>
      <c r="H757" s="216"/>
      <c r="I757" s="216"/>
      <c r="J757" s="216"/>
      <c r="K757" s="222"/>
    </row>
    <row r="758" spans="1:11" ht="12.75" customHeight="1" x14ac:dyDescent="0.25">
      <c r="A758" s="222"/>
      <c r="B758" s="222"/>
      <c r="C758" s="216"/>
      <c r="D758" s="216"/>
      <c r="E758" s="216"/>
      <c r="F758" s="216"/>
      <c r="G758" s="222"/>
      <c r="H758" s="216"/>
      <c r="I758" s="216"/>
      <c r="J758" s="216"/>
      <c r="K758" s="222"/>
    </row>
    <row r="759" spans="1:11" ht="12.75" customHeight="1" x14ac:dyDescent="0.25">
      <c r="A759" s="222"/>
      <c r="B759" s="222"/>
      <c r="C759" s="216"/>
      <c r="D759" s="216"/>
      <c r="E759" s="216"/>
      <c r="F759" s="216"/>
      <c r="G759" s="222"/>
      <c r="H759" s="216"/>
      <c r="I759" s="216"/>
      <c r="J759" s="216"/>
      <c r="K759" s="222"/>
    </row>
    <row r="760" spans="1:11" ht="12.75" customHeight="1" x14ac:dyDescent="0.25">
      <c r="A760" s="222"/>
      <c r="B760" s="222"/>
      <c r="C760" s="216"/>
      <c r="D760" s="216"/>
      <c r="E760" s="216"/>
      <c r="F760" s="216"/>
      <c r="G760" s="222"/>
      <c r="H760" s="216"/>
      <c r="I760" s="216"/>
      <c r="J760" s="216"/>
      <c r="K760" s="222"/>
    </row>
    <row r="761" spans="1:11" ht="12.75" customHeight="1" x14ac:dyDescent="0.25">
      <c r="A761" s="222"/>
      <c r="B761" s="222"/>
      <c r="C761" s="216"/>
      <c r="D761" s="216"/>
      <c r="E761" s="216"/>
      <c r="F761" s="216"/>
      <c r="G761" s="222"/>
      <c r="H761" s="216"/>
      <c r="I761" s="216"/>
      <c r="J761" s="216"/>
      <c r="K761" s="222"/>
    </row>
    <row r="762" spans="1:11" ht="12.75" customHeight="1" x14ac:dyDescent="0.25">
      <c r="A762" s="222"/>
      <c r="B762" s="222"/>
      <c r="C762" s="216"/>
      <c r="D762" s="216"/>
      <c r="E762" s="216"/>
      <c r="F762" s="216"/>
      <c r="G762" s="222"/>
      <c r="H762" s="216"/>
      <c r="I762" s="216"/>
      <c r="J762" s="216"/>
      <c r="K762" s="222"/>
    </row>
    <row r="763" spans="1:11" ht="12.75" customHeight="1" x14ac:dyDescent="0.25">
      <c r="A763" s="222"/>
      <c r="B763" s="222"/>
      <c r="C763" s="216"/>
      <c r="D763" s="216"/>
      <c r="E763" s="216"/>
      <c r="F763" s="216"/>
      <c r="G763" s="222"/>
      <c r="H763" s="216"/>
      <c r="I763" s="216"/>
      <c r="J763" s="216"/>
      <c r="K763" s="222"/>
    </row>
    <row r="764" spans="1:11" ht="12.75" customHeight="1" x14ac:dyDescent="0.25">
      <c r="A764" s="222"/>
      <c r="B764" s="222"/>
      <c r="C764" s="216"/>
      <c r="D764" s="216"/>
      <c r="E764" s="216"/>
      <c r="F764" s="216"/>
      <c r="G764" s="222"/>
      <c r="H764" s="216"/>
      <c r="I764" s="216"/>
      <c r="J764" s="216"/>
      <c r="K764" s="222"/>
    </row>
    <row r="765" spans="1:11" ht="12.75" customHeight="1" x14ac:dyDescent="0.25">
      <c r="A765" s="222"/>
      <c r="B765" s="222"/>
      <c r="C765" s="216"/>
      <c r="D765" s="216"/>
      <c r="E765" s="216"/>
      <c r="F765" s="216"/>
      <c r="G765" s="222"/>
      <c r="H765" s="216"/>
      <c r="I765" s="216"/>
      <c r="J765" s="216"/>
      <c r="K765" s="222"/>
    </row>
    <row r="766" spans="1:11" ht="12.75" customHeight="1" x14ac:dyDescent="0.25">
      <c r="A766" s="222"/>
      <c r="B766" s="222"/>
      <c r="C766" s="216"/>
      <c r="D766" s="216"/>
      <c r="E766" s="216"/>
      <c r="F766" s="216"/>
      <c r="G766" s="222"/>
      <c r="H766" s="216"/>
      <c r="I766" s="216"/>
      <c r="J766" s="216"/>
      <c r="K766" s="222"/>
    </row>
    <row r="767" spans="1:11" ht="12.75" customHeight="1" x14ac:dyDescent="0.25">
      <c r="A767" s="222"/>
      <c r="B767" s="222"/>
      <c r="C767" s="216"/>
      <c r="D767" s="216"/>
      <c r="E767" s="216"/>
      <c r="F767" s="216"/>
      <c r="G767" s="222"/>
      <c r="H767" s="216"/>
      <c r="I767" s="216"/>
      <c r="J767" s="216"/>
      <c r="K767" s="222"/>
    </row>
    <row r="768" spans="1:11" ht="12.75" customHeight="1" x14ac:dyDescent="0.25">
      <c r="A768" s="222"/>
      <c r="B768" s="222"/>
      <c r="C768" s="216"/>
      <c r="D768" s="216"/>
      <c r="E768" s="216"/>
      <c r="F768" s="216"/>
      <c r="G768" s="222"/>
      <c r="H768" s="216"/>
      <c r="I768" s="216"/>
      <c r="J768" s="216"/>
      <c r="K768" s="222"/>
    </row>
    <row r="769" spans="1:11" ht="12.75" customHeight="1" x14ac:dyDescent="0.25">
      <c r="A769" s="222"/>
      <c r="B769" s="222"/>
      <c r="C769" s="216"/>
      <c r="D769" s="216"/>
      <c r="E769" s="216"/>
      <c r="F769" s="216"/>
      <c r="G769" s="222"/>
      <c r="H769" s="216"/>
      <c r="I769" s="216"/>
      <c r="J769" s="216"/>
      <c r="K769" s="222"/>
    </row>
    <row r="770" spans="1:11" ht="12.75" customHeight="1" x14ac:dyDescent="0.25">
      <c r="A770" s="222"/>
      <c r="B770" s="222"/>
      <c r="C770" s="216"/>
      <c r="D770" s="216"/>
      <c r="E770" s="216"/>
      <c r="F770" s="216"/>
      <c r="G770" s="222"/>
      <c r="H770" s="216"/>
      <c r="I770" s="216"/>
      <c r="J770" s="216"/>
      <c r="K770" s="222"/>
    </row>
    <row r="771" spans="1:11" ht="12.75" customHeight="1" x14ac:dyDescent="0.25">
      <c r="A771" s="222"/>
      <c r="B771" s="222"/>
      <c r="C771" s="216"/>
      <c r="D771" s="216"/>
      <c r="E771" s="216"/>
      <c r="F771" s="216"/>
      <c r="G771" s="222"/>
      <c r="H771" s="216"/>
      <c r="I771" s="216"/>
      <c r="J771" s="216"/>
      <c r="K771" s="222"/>
    </row>
    <row r="772" spans="1:11" ht="12.75" customHeight="1" x14ac:dyDescent="0.25">
      <c r="A772" s="222"/>
      <c r="B772" s="222"/>
      <c r="C772" s="216"/>
      <c r="D772" s="216"/>
      <c r="E772" s="216"/>
      <c r="F772" s="216"/>
      <c r="G772" s="222"/>
      <c r="H772" s="216"/>
      <c r="I772" s="216"/>
      <c r="J772" s="216"/>
      <c r="K772" s="222"/>
    </row>
    <row r="773" spans="1:11" ht="12.75" customHeight="1" x14ac:dyDescent="0.25">
      <c r="A773" s="222"/>
      <c r="B773" s="222"/>
      <c r="C773" s="216"/>
      <c r="D773" s="216"/>
      <c r="E773" s="216"/>
      <c r="F773" s="216"/>
      <c r="G773" s="222"/>
      <c r="H773" s="216"/>
      <c r="I773" s="216"/>
      <c r="J773" s="216"/>
      <c r="K773" s="222"/>
    </row>
    <row r="774" spans="1:11" ht="12.75" customHeight="1" x14ac:dyDescent="0.25">
      <c r="A774" s="222"/>
      <c r="B774" s="222"/>
      <c r="C774" s="216"/>
      <c r="D774" s="216"/>
      <c r="E774" s="216"/>
      <c r="F774" s="216"/>
      <c r="G774" s="222"/>
      <c r="H774" s="216"/>
      <c r="I774" s="216"/>
      <c r="J774" s="216"/>
      <c r="K774" s="222"/>
    </row>
    <row r="775" spans="1:11" ht="12.75" customHeight="1" x14ac:dyDescent="0.25">
      <c r="A775" s="222"/>
      <c r="B775" s="222"/>
      <c r="C775" s="216"/>
      <c r="D775" s="216"/>
      <c r="E775" s="216"/>
      <c r="F775" s="216"/>
      <c r="G775" s="222"/>
      <c r="H775" s="216"/>
      <c r="I775" s="216"/>
      <c r="J775" s="216"/>
      <c r="K775" s="222"/>
    </row>
    <row r="776" spans="1:11" ht="12.75" customHeight="1" x14ac:dyDescent="0.25">
      <c r="A776" s="222"/>
      <c r="B776" s="222"/>
      <c r="C776" s="216"/>
      <c r="D776" s="216"/>
      <c r="E776" s="216"/>
      <c r="F776" s="216"/>
      <c r="G776" s="222"/>
      <c r="H776" s="216"/>
      <c r="I776" s="216"/>
      <c r="J776" s="216"/>
      <c r="K776" s="222"/>
    </row>
    <row r="777" spans="1:11" ht="12.75" customHeight="1" x14ac:dyDescent="0.25">
      <c r="A777" s="222"/>
      <c r="B777" s="222"/>
      <c r="C777" s="216"/>
      <c r="D777" s="216"/>
      <c r="E777" s="216"/>
      <c r="F777" s="216"/>
      <c r="G777" s="222"/>
      <c r="H777" s="216"/>
      <c r="I777" s="216"/>
      <c r="J777" s="216"/>
      <c r="K777" s="222"/>
    </row>
    <row r="778" spans="1:11" ht="12.75" customHeight="1" x14ac:dyDescent="0.25">
      <c r="A778" s="222"/>
      <c r="B778" s="222"/>
      <c r="C778" s="216"/>
      <c r="D778" s="216"/>
      <c r="E778" s="216"/>
      <c r="F778" s="216"/>
      <c r="G778" s="222"/>
      <c r="H778" s="216"/>
      <c r="I778" s="216"/>
      <c r="J778" s="216"/>
      <c r="K778" s="222"/>
    </row>
    <row r="779" spans="1:11" ht="12.75" customHeight="1" x14ac:dyDescent="0.25">
      <c r="A779" s="222"/>
      <c r="B779" s="222"/>
      <c r="C779" s="216"/>
      <c r="D779" s="216"/>
      <c r="E779" s="216"/>
      <c r="F779" s="216"/>
      <c r="G779" s="222"/>
      <c r="H779" s="216"/>
      <c r="I779" s="216"/>
      <c r="J779" s="216"/>
      <c r="K779" s="222"/>
    </row>
    <row r="780" spans="1:11" ht="12.75" customHeight="1" x14ac:dyDescent="0.25">
      <c r="A780" s="222"/>
      <c r="B780" s="222"/>
      <c r="C780" s="216"/>
      <c r="D780" s="216"/>
      <c r="E780" s="216"/>
      <c r="F780" s="216"/>
      <c r="G780" s="222"/>
      <c r="H780" s="216"/>
      <c r="I780" s="216"/>
      <c r="J780" s="216"/>
      <c r="K780" s="222"/>
    </row>
    <row r="781" spans="1:11" ht="12.75" customHeight="1" x14ac:dyDescent="0.25">
      <c r="A781" s="222"/>
      <c r="B781" s="222"/>
      <c r="C781" s="216"/>
      <c r="D781" s="216"/>
      <c r="E781" s="216"/>
      <c r="F781" s="216"/>
      <c r="G781" s="222"/>
      <c r="H781" s="216"/>
      <c r="I781" s="216"/>
      <c r="J781" s="216"/>
      <c r="K781" s="222"/>
    </row>
    <row r="782" spans="1:11" ht="12.75" customHeight="1" x14ac:dyDescent="0.25">
      <c r="A782" s="222"/>
      <c r="B782" s="222"/>
      <c r="C782" s="216"/>
      <c r="D782" s="216"/>
      <c r="E782" s="216"/>
      <c r="F782" s="216"/>
      <c r="G782" s="222"/>
      <c r="H782" s="216"/>
      <c r="I782" s="216"/>
      <c r="J782" s="216"/>
      <c r="K782" s="222"/>
    </row>
    <row r="783" spans="1:11" ht="12.75" customHeight="1" x14ac:dyDescent="0.25">
      <c r="A783" s="222"/>
      <c r="B783" s="222"/>
      <c r="C783" s="216"/>
      <c r="D783" s="216"/>
      <c r="E783" s="216"/>
      <c r="F783" s="216"/>
      <c r="G783" s="222"/>
      <c r="H783" s="216"/>
      <c r="I783" s="216"/>
      <c r="J783" s="216"/>
      <c r="K783" s="222"/>
    </row>
    <row r="784" spans="1:11" ht="12.75" customHeight="1" x14ac:dyDescent="0.25">
      <c r="A784" s="222"/>
      <c r="B784" s="222"/>
      <c r="C784" s="216"/>
      <c r="D784" s="216"/>
      <c r="E784" s="216"/>
      <c r="F784" s="216"/>
      <c r="G784" s="222"/>
      <c r="H784" s="216"/>
      <c r="I784" s="216"/>
      <c r="J784" s="216"/>
      <c r="K784" s="222"/>
    </row>
    <row r="785" spans="1:11" ht="12.75" customHeight="1" x14ac:dyDescent="0.25">
      <c r="A785" s="222"/>
      <c r="B785" s="222"/>
      <c r="C785" s="216"/>
      <c r="D785" s="216"/>
      <c r="E785" s="216"/>
      <c r="F785" s="216"/>
      <c r="G785" s="222"/>
      <c r="H785" s="216"/>
      <c r="I785" s="216"/>
      <c r="J785" s="216"/>
      <c r="K785" s="222"/>
    </row>
    <row r="786" spans="1:11" ht="12.75" customHeight="1" x14ac:dyDescent="0.25">
      <c r="A786" s="222"/>
      <c r="B786" s="222"/>
      <c r="C786" s="216"/>
      <c r="D786" s="216"/>
      <c r="E786" s="216"/>
      <c r="F786" s="216"/>
      <c r="G786" s="222"/>
      <c r="H786" s="216"/>
      <c r="I786" s="216"/>
      <c r="J786" s="216"/>
      <c r="K786" s="222"/>
    </row>
    <row r="787" spans="1:11" ht="12.75" customHeight="1" x14ac:dyDescent="0.25">
      <c r="A787" s="222"/>
      <c r="B787" s="222"/>
      <c r="C787" s="216"/>
      <c r="D787" s="216"/>
      <c r="E787" s="216"/>
      <c r="F787" s="216"/>
      <c r="G787" s="222"/>
      <c r="H787" s="216"/>
      <c r="I787" s="216"/>
      <c r="J787" s="216"/>
      <c r="K787" s="222"/>
    </row>
    <row r="788" spans="1:11" ht="12.75" customHeight="1" x14ac:dyDescent="0.25">
      <c r="A788" s="222"/>
      <c r="B788" s="222"/>
      <c r="C788" s="216"/>
      <c r="D788" s="216"/>
      <c r="E788" s="216"/>
      <c r="F788" s="216"/>
      <c r="G788" s="222"/>
      <c r="H788" s="216"/>
      <c r="I788" s="216"/>
      <c r="J788" s="216"/>
      <c r="K788" s="222"/>
    </row>
    <row r="789" spans="1:11" ht="12.75" customHeight="1" x14ac:dyDescent="0.25">
      <c r="A789" s="222"/>
      <c r="B789" s="222"/>
      <c r="C789" s="216"/>
      <c r="D789" s="216"/>
      <c r="E789" s="216"/>
      <c r="F789" s="216"/>
      <c r="G789" s="222"/>
      <c r="H789" s="216"/>
      <c r="I789" s="216"/>
      <c r="J789" s="216"/>
      <c r="K789" s="222"/>
    </row>
    <row r="790" spans="1:11" ht="12.75" customHeight="1" x14ac:dyDescent="0.25">
      <c r="A790" s="222"/>
      <c r="B790" s="222"/>
      <c r="C790" s="216"/>
      <c r="D790" s="216"/>
      <c r="E790" s="216"/>
      <c r="F790" s="216"/>
      <c r="G790" s="222"/>
      <c r="H790" s="216"/>
      <c r="I790" s="216"/>
      <c r="J790" s="216"/>
      <c r="K790" s="222"/>
    </row>
    <row r="791" spans="1:11" ht="12.75" customHeight="1" x14ac:dyDescent="0.25">
      <c r="A791" s="222"/>
      <c r="B791" s="222"/>
      <c r="C791" s="216"/>
      <c r="D791" s="216"/>
      <c r="E791" s="216"/>
      <c r="F791" s="216"/>
      <c r="G791" s="222"/>
      <c r="H791" s="216"/>
      <c r="I791" s="216"/>
      <c r="J791" s="216"/>
      <c r="K791" s="222"/>
    </row>
    <row r="792" spans="1:11" ht="12.75" customHeight="1" x14ac:dyDescent="0.25">
      <c r="A792" s="222"/>
      <c r="B792" s="222"/>
      <c r="C792" s="216"/>
      <c r="D792" s="216"/>
      <c r="E792" s="216"/>
      <c r="F792" s="216"/>
      <c r="G792" s="222"/>
      <c r="H792" s="216"/>
      <c r="I792" s="216"/>
      <c r="J792" s="216"/>
      <c r="K792" s="222"/>
    </row>
    <row r="793" spans="1:11" ht="12.75" customHeight="1" x14ac:dyDescent="0.25">
      <c r="A793" s="222"/>
      <c r="B793" s="222"/>
      <c r="C793" s="216"/>
      <c r="D793" s="216"/>
      <c r="E793" s="216"/>
      <c r="F793" s="216"/>
      <c r="G793" s="222"/>
      <c r="H793" s="216"/>
      <c r="I793" s="216"/>
      <c r="J793" s="216"/>
      <c r="K793" s="222"/>
    </row>
    <row r="794" spans="1:11" ht="12.75" customHeight="1" x14ac:dyDescent="0.25">
      <c r="A794" s="222"/>
      <c r="B794" s="222"/>
      <c r="C794" s="216"/>
      <c r="D794" s="216"/>
      <c r="E794" s="216"/>
      <c r="F794" s="216"/>
      <c r="G794" s="222"/>
      <c r="H794" s="216"/>
      <c r="I794" s="216"/>
      <c r="J794" s="216"/>
      <c r="K794" s="222"/>
    </row>
    <row r="795" spans="1:11" ht="12.75" customHeight="1" x14ac:dyDescent="0.25">
      <c r="A795" s="222"/>
      <c r="B795" s="222"/>
      <c r="C795" s="216"/>
      <c r="D795" s="216"/>
      <c r="E795" s="216"/>
      <c r="F795" s="216"/>
      <c r="G795" s="222"/>
      <c r="H795" s="216"/>
      <c r="I795" s="216"/>
      <c r="J795" s="216"/>
      <c r="K795" s="222"/>
    </row>
    <row r="796" spans="1:11" ht="12.75" customHeight="1" x14ac:dyDescent="0.25">
      <c r="A796" s="222"/>
      <c r="B796" s="222"/>
      <c r="C796" s="216"/>
      <c r="D796" s="216"/>
      <c r="E796" s="216"/>
      <c r="F796" s="216"/>
      <c r="G796" s="222"/>
      <c r="H796" s="216"/>
      <c r="I796" s="216"/>
      <c r="J796" s="216"/>
      <c r="K796" s="222"/>
    </row>
    <row r="797" spans="1:11" ht="12.75" customHeight="1" x14ac:dyDescent="0.25">
      <c r="A797" s="222"/>
      <c r="B797" s="222"/>
      <c r="C797" s="216"/>
      <c r="D797" s="216"/>
      <c r="E797" s="216"/>
      <c r="F797" s="216"/>
      <c r="G797" s="222"/>
      <c r="H797" s="216"/>
      <c r="I797" s="216"/>
      <c r="J797" s="216"/>
      <c r="K797" s="222"/>
    </row>
    <row r="798" spans="1:11" ht="12.75" customHeight="1" x14ac:dyDescent="0.25">
      <c r="A798" s="222"/>
      <c r="B798" s="222"/>
      <c r="C798" s="216"/>
      <c r="D798" s="216"/>
      <c r="E798" s="216"/>
      <c r="F798" s="216"/>
      <c r="G798" s="222"/>
      <c r="H798" s="216"/>
      <c r="I798" s="216"/>
      <c r="J798" s="216"/>
      <c r="K798" s="222"/>
    </row>
    <row r="799" spans="1:11" ht="12.75" customHeight="1" x14ac:dyDescent="0.25">
      <c r="A799" s="222"/>
      <c r="B799" s="222"/>
      <c r="C799" s="216"/>
      <c r="D799" s="216"/>
      <c r="E799" s="216"/>
      <c r="F799" s="216"/>
      <c r="G799" s="222"/>
      <c r="H799" s="216"/>
      <c r="I799" s="216"/>
      <c r="J799" s="216"/>
      <c r="K799" s="222"/>
    </row>
    <row r="800" spans="1:11" ht="12.75" customHeight="1" x14ac:dyDescent="0.25">
      <c r="A800" s="222"/>
      <c r="B800" s="222"/>
      <c r="C800" s="216"/>
      <c r="D800" s="216"/>
      <c r="E800" s="216"/>
      <c r="F800" s="216"/>
      <c r="G800" s="222"/>
      <c r="H800" s="216"/>
      <c r="I800" s="216"/>
      <c r="J800" s="216"/>
      <c r="K800" s="222"/>
    </row>
    <row r="801" spans="1:11" ht="12.75" customHeight="1" x14ac:dyDescent="0.25">
      <c r="A801" s="222"/>
      <c r="B801" s="222"/>
      <c r="C801" s="216"/>
      <c r="D801" s="216"/>
      <c r="E801" s="216"/>
      <c r="F801" s="216"/>
      <c r="G801" s="222"/>
      <c r="H801" s="216"/>
      <c r="I801" s="216"/>
      <c r="J801" s="216"/>
      <c r="K801" s="222"/>
    </row>
    <row r="802" spans="1:11" ht="12.75" customHeight="1" x14ac:dyDescent="0.25">
      <c r="A802" s="222"/>
      <c r="B802" s="222"/>
      <c r="C802" s="216"/>
      <c r="D802" s="216"/>
      <c r="E802" s="216"/>
      <c r="F802" s="216"/>
      <c r="G802" s="222"/>
      <c r="H802" s="216"/>
      <c r="I802" s="216"/>
      <c r="J802" s="216"/>
      <c r="K802" s="222"/>
    </row>
    <row r="803" spans="1:11" ht="12.75" customHeight="1" x14ac:dyDescent="0.25">
      <c r="A803" s="222"/>
      <c r="B803" s="222"/>
      <c r="C803" s="216"/>
      <c r="D803" s="216"/>
      <c r="E803" s="216"/>
      <c r="F803" s="216"/>
      <c r="G803" s="222"/>
      <c r="H803" s="216"/>
      <c r="I803" s="216"/>
      <c r="J803" s="216"/>
      <c r="K803" s="222"/>
    </row>
    <row r="804" spans="1:11" ht="12.75" customHeight="1" x14ac:dyDescent="0.25">
      <c r="A804" s="222"/>
      <c r="B804" s="222"/>
      <c r="C804" s="216"/>
      <c r="D804" s="216"/>
      <c r="E804" s="216"/>
      <c r="F804" s="216"/>
      <c r="G804" s="222"/>
      <c r="H804" s="216"/>
      <c r="I804" s="216"/>
      <c r="J804" s="216"/>
      <c r="K804" s="222"/>
    </row>
    <row r="805" spans="1:11" ht="12.75" customHeight="1" x14ac:dyDescent="0.25">
      <c r="A805" s="222"/>
      <c r="B805" s="222"/>
      <c r="C805" s="216"/>
      <c r="D805" s="216"/>
      <c r="E805" s="216"/>
      <c r="F805" s="216"/>
      <c r="G805" s="222"/>
      <c r="H805" s="216"/>
      <c r="I805" s="216"/>
      <c r="J805" s="216"/>
      <c r="K805" s="222"/>
    </row>
    <row r="806" spans="1:11" ht="12.75" customHeight="1" x14ac:dyDescent="0.25">
      <c r="A806" s="222"/>
      <c r="B806" s="222"/>
      <c r="C806" s="216"/>
      <c r="D806" s="216"/>
      <c r="E806" s="216"/>
      <c r="F806" s="216"/>
      <c r="G806" s="222"/>
      <c r="H806" s="216"/>
      <c r="I806" s="216"/>
      <c r="J806" s="216"/>
      <c r="K806" s="222"/>
    </row>
    <row r="807" spans="1:11" ht="12.75" customHeight="1" x14ac:dyDescent="0.25">
      <c r="A807" s="222"/>
      <c r="B807" s="222"/>
      <c r="C807" s="216"/>
      <c r="D807" s="216"/>
      <c r="E807" s="216"/>
      <c r="F807" s="216"/>
      <c r="G807" s="222"/>
      <c r="H807" s="216"/>
      <c r="I807" s="216"/>
      <c r="J807" s="216"/>
      <c r="K807" s="222"/>
    </row>
    <row r="808" spans="1:11" ht="12.75" customHeight="1" x14ac:dyDescent="0.25">
      <c r="A808" s="222"/>
      <c r="B808" s="222"/>
      <c r="C808" s="216"/>
      <c r="D808" s="216"/>
      <c r="E808" s="216"/>
      <c r="F808" s="216"/>
      <c r="G808" s="222"/>
      <c r="H808" s="216"/>
      <c r="I808" s="216"/>
      <c r="J808" s="216"/>
      <c r="K808" s="222"/>
    </row>
    <row r="809" spans="1:11" ht="12.75" customHeight="1" x14ac:dyDescent="0.25">
      <c r="A809" s="222"/>
      <c r="B809" s="222"/>
      <c r="C809" s="216"/>
      <c r="D809" s="216"/>
      <c r="E809" s="216"/>
      <c r="F809" s="216"/>
      <c r="G809" s="222"/>
      <c r="H809" s="216"/>
      <c r="I809" s="216"/>
      <c r="J809" s="216"/>
      <c r="K809" s="222"/>
    </row>
    <row r="810" spans="1:11" ht="12.75" customHeight="1" x14ac:dyDescent="0.25">
      <c r="A810" s="222"/>
      <c r="B810" s="222"/>
      <c r="C810" s="216"/>
      <c r="D810" s="216"/>
      <c r="E810" s="216"/>
      <c r="F810" s="216"/>
      <c r="G810" s="222"/>
      <c r="H810" s="216"/>
      <c r="I810" s="216"/>
      <c r="J810" s="216"/>
      <c r="K810" s="222"/>
    </row>
    <row r="811" spans="1:11" ht="12.75" customHeight="1" x14ac:dyDescent="0.25">
      <c r="A811" s="222"/>
      <c r="B811" s="222"/>
      <c r="C811" s="216"/>
      <c r="D811" s="216"/>
      <c r="E811" s="216"/>
      <c r="F811" s="216"/>
      <c r="G811" s="222"/>
      <c r="H811" s="216"/>
      <c r="I811" s="216"/>
      <c r="J811" s="216"/>
      <c r="K811" s="222"/>
    </row>
    <row r="812" spans="1:11" ht="12.75" customHeight="1" x14ac:dyDescent="0.25">
      <c r="A812" s="222"/>
      <c r="B812" s="222"/>
      <c r="C812" s="216"/>
      <c r="D812" s="216"/>
      <c r="E812" s="216"/>
      <c r="F812" s="216"/>
      <c r="G812" s="222"/>
      <c r="H812" s="216"/>
      <c r="I812" s="216"/>
      <c r="J812" s="216"/>
      <c r="K812" s="222"/>
    </row>
    <row r="813" spans="1:11" ht="12.75" customHeight="1" x14ac:dyDescent="0.25">
      <c r="A813" s="222"/>
      <c r="B813" s="222"/>
      <c r="C813" s="216"/>
      <c r="D813" s="216"/>
      <c r="E813" s="216"/>
      <c r="F813" s="216"/>
      <c r="G813" s="222"/>
      <c r="H813" s="216"/>
      <c r="I813" s="216"/>
      <c r="J813" s="216"/>
      <c r="K813" s="222"/>
    </row>
    <row r="814" spans="1:11" ht="12.75" customHeight="1" x14ac:dyDescent="0.25">
      <c r="A814" s="222"/>
      <c r="B814" s="222"/>
      <c r="C814" s="216"/>
      <c r="D814" s="216"/>
      <c r="E814" s="216"/>
      <c r="F814" s="216"/>
      <c r="G814" s="222"/>
      <c r="H814" s="216"/>
      <c r="I814" s="216"/>
      <c r="J814" s="216"/>
      <c r="K814" s="222"/>
    </row>
    <row r="815" spans="1:11" ht="12.75" customHeight="1" x14ac:dyDescent="0.25">
      <c r="A815" s="222"/>
      <c r="B815" s="222"/>
      <c r="C815" s="216"/>
      <c r="D815" s="216"/>
      <c r="E815" s="216"/>
      <c r="F815" s="216"/>
      <c r="G815" s="222"/>
      <c r="H815" s="216"/>
      <c r="I815" s="216"/>
      <c r="J815" s="216"/>
      <c r="K815" s="222"/>
    </row>
    <row r="816" spans="1:11" ht="12.75" customHeight="1" x14ac:dyDescent="0.25">
      <c r="A816" s="222"/>
      <c r="B816" s="222"/>
      <c r="C816" s="216"/>
      <c r="D816" s="216"/>
      <c r="E816" s="216"/>
      <c r="F816" s="216"/>
      <c r="G816" s="222"/>
      <c r="H816" s="216"/>
      <c r="I816" s="216"/>
      <c r="J816" s="216"/>
      <c r="K816" s="222"/>
    </row>
    <row r="817" spans="1:11" ht="12.75" customHeight="1" x14ac:dyDescent="0.25">
      <c r="A817" s="222"/>
      <c r="B817" s="222"/>
      <c r="C817" s="216"/>
      <c r="D817" s="216"/>
      <c r="E817" s="216"/>
      <c r="F817" s="216"/>
      <c r="G817" s="222"/>
      <c r="H817" s="216"/>
      <c r="I817" s="216"/>
      <c r="J817" s="216"/>
      <c r="K817" s="222"/>
    </row>
    <row r="818" spans="1:11" ht="12.75" customHeight="1" x14ac:dyDescent="0.25">
      <c r="A818" s="222"/>
      <c r="B818" s="222"/>
      <c r="C818" s="216"/>
      <c r="D818" s="216"/>
      <c r="E818" s="216"/>
      <c r="F818" s="216"/>
      <c r="G818" s="222"/>
      <c r="H818" s="216"/>
      <c r="I818" s="216"/>
      <c r="J818" s="216"/>
      <c r="K818" s="222"/>
    </row>
    <row r="819" spans="1:11" ht="12.75" customHeight="1" x14ac:dyDescent="0.25">
      <c r="A819" s="222"/>
      <c r="B819" s="222"/>
      <c r="C819" s="216"/>
      <c r="D819" s="216"/>
      <c r="E819" s="216"/>
      <c r="F819" s="216"/>
      <c r="G819" s="222"/>
      <c r="H819" s="216"/>
      <c r="I819" s="216"/>
      <c r="J819" s="216"/>
      <c r="K819" s="222"/>
    </row>
    <row r="820" spans="1:11" ht="12.75" customHeight="1" x14ac:dyDescent="0.25">
      <c r="A820" s="222"/>
      <c r="B820" s="222"/>
      <c r="C820" s="216"/>
      <c r="D820" s="216"/>
      <c r="E820" s="216"/>
      <c r="F820" s="216"/>
      <c r="G820" s="222"/>
      <c r="H820" s="216"/>
      <c r="I820" s="216"/>
      <c r="J820" s="216"/>
      <c r="K820" s="222"/>
    </row>
    <row r="821" spans="1:11" ht="12.75" customHeight="1" x14ac:dyDescent="0.25">
      <c r="A821" s="222"/>
      <c r="B821" s="222"/>
      <c r="C821" s="216"/>
      <c r="D821" s="216"/>
      <c r="E821" s="216"/>
      <c r="F821" s="216"/>
      <c r="G821" s="222"/>
      <c r="H821" s="216"/>
      <c r="I821" s="216"/>
      <c r="J821" s="216"/>
      <c r="K821" s="222"/>
    </row>
    <row r="822" spans="1:11" ht="12.75" customHeight="1" x14ac:dyDescent="0.25">
      <c r="A822" s="222"/>
      <c r="B822" s="222"/>
      <c r="C822" s="216"/>
      <c r="D822" s="216"/>
      <c r="E822" s="216"/>
      <c r="F822" s="216"/>
      <c r="G822" s="222"/>
      <c r="H822" s="216"/>
      <c r="I822" s="216"/>
      <c r="J822" s="216"/>
      <c r="K822" s="222"/>
    </row>
    <row r="823" spans="1:11" ht="12.75" customHeight="1" x14ac:dyDescent="0.25">
      <c r="A823" s="222"/>
      <c r="B823" s="222"/>
      <c r="C823" s="216"/>
      <c r="D823" s="216"/>
      <c r="E823" s="216"/>
      <c r="F823" s="216"/>
      <c r="G823" s="222"/>
      <c r="H823" s="216"/>
      <c r="I823" s="216"/>
      <c r="J823" s="216"/>
      <c r="K823" s="222"/>
    </row>
    <row r="824" spans="1:11" ht="12.75" customHeight="1" x14ac:dyDescent="0.25">
      <c r="A824" s="222"/>
      <c r="B824" s="222"/>
      <c r="C824" s="216"/>
      <c r="D824" s="216"/>
      <c r="E824" s="216"/>
      <c r="F824" s="216"/>
      <c r="G824" s="222"/>
      <c r="H824" s="216"/>
      <c r="I824" s="216"/>
      <c r="J824" s="216"/>
      <c r="K824" s="222"/>
    </row>
    <row r="825" spans="1:11" ht="12.75" customHeight="1" x14ac:dyDescent="0.25">
      <c r="A825" s="222"/>
      <c r="B825" s="222"/>
      <c r="C825" s="216"/>
      <c r="D825" s="216"/>
      <c r="E825" s="216"/>
      <c r="F825" s="216"/>
      <c r="G825" s="222"/>
      <c r="H825" s="216"/>
      <c r="I825" s="216"/>
      <c r="J825" s="216"/>
      <c r="K825" s="222"/>
    </row>
    <row r="826" spans="1:11" ht="12.75" customHeight="1" x14ac:dyDescent="0.25">
      <c r="A826" s="222"/>
      <c r="B826" s="222"/>
      <c r="C826" s="216"/>
      <c r="D826" s="216"/>
      <c r="E826" s="216"/>
      <c r="F826" s="216"/>
      <c r="G826" s="222"/>
      <c r="H826" s="216"/>
      <c r="I826" s="216"/>
      <c r="J826" s="216"/>
      <c r="K826" s="222"/>
    </row>
    <row r="827" spans="1:11" ht="12.75" customHeight="1" x14ac:dyDescent="0.25">
      <c r="A827" s="222"/>
      <c r="B827" s="222"/>
      <c r="C827" s="216"/>
      <c r="D827" s="216"/>
      <c r="E827" s="216"/>
      <c r="F827" s="216"/>
      <c r="G827" s="222"/>
      <c r="H827" s="216"/>
      <c r="I827" s="216"/>
      <c r="J827" s="216"/>
      <c r="K827" s="222"/>
    </row>
    <row r="828" spans="1:11" ht="12.75" customHeight="1" x14ac:dyDescent="0.25">
      <c r="A828" s="222"/>
      <c r="B828" s="222"/>
      <c r="C828" s="216"/>
      <c r="D828" s="216"/>
      <c r="E828" s="216"/>
      <c r="F828" s="216"/>
      <c r="G828" s="222"/>
      <c r="H828" s="216"/>
      <c r="I828" s="216"/>
      <c r="J828" s="216"/>
      <c r="K828" s="222"/>
    </row>
    <row r="829" spans="1:11" ht="12.75" customHeight="1" x14ac:dyDescent="0.25">
      <c r="A829" s="222"/>
      <c r="B829" s="222"/>
      <c r="C829" s="216"/>
      <c r="D829" s="216"/>
      <c r="E829" s="216"/>
      <c r="F829" s="216"/>
      <c r="G829" s="222"/>
      <c r="H829" s="216"/>
      <c r="I829" s="216"/>
      <c r="J829" s="216"/>
      <c r="K829" s="222"/>
    </row>
    <row r="830" spans="1:11" ht="12.75" customHeight="1" x14ac:dyDescent="0.25">
      <c r="A830" s="222"/>
      <c r="B830" s="222"/>
      <c r="C830" s="216"/>
      <c r="D830" s="216"/>
      <c r="E830" s="216"/>
      <c r="F830" s="216"/>
      <c r="G830" s="222"/>
      <c r="H830" s="216"/>
      <c r="I830" s="216"/>
      <c r="J830" s="216"/>
      <c r="K830" s="222"/>
    </row>
    <row r="831" spans="1:11" ht="12.75" customHeight="1" x14ac:dyDescent="0.25">
      <c r="A831" s="222"/>
      <c r="B831" s="222"/>
      <c r="C831" s="216"/>
      <c r="D831" s="216"/>
      <c r="E831" s="216"/>
      <c r="F831" s="216"/>
      <c r="G831" s="222"/>
      <c r="H831" s="216"/>
      <c r="I831" s="216"/>
      <c r="J831" s="216"/>
      <c r="K831" s="222"/>
    </row>
    <row r="832" spans="1:11" ht="12.75" customHeight="1" x14ac:dyDescent="0.25">
      <c r="A832" s="222"/>
      <c r="B832" s="222"/>
      <c r="C832" s="216"/>
      <c r="D832" s="216"/>
      <c r="E832" s="216"/>
      <c r="F832" s="216"/>
      <c r="G832" s="222"/>
      <c r="H832" s="216"/>
      <c r="I832" s="216"/>
      <c r="J832" s="216"/>
      <c r="K832" s="222"/>
    </row>
    <row r="833" spans="1:11" ht="12.75" customHeight="1" x14ac:dyDescent="0.25">
      <c r="A833" s="222"/>
      <c r="B833" s="222"/>
      <c r="C833" s="216"/>
      <c r="D833" s="216"/>
      <c r="E833" s="216"/>
      <c r="F833" s="216"/>
      <c r="G833" s="222"/>
      <c r="H833" s="216"/>
      <c r="I833" s="216"/>
      <c r="J833" s="216"/>
      <c r="K833" s="222"/>
    </row>
    <row r="834" spans="1:11" ht="12.75" customHeight="1" x14ac:dyDescent="0.25">
      <c r="A834" s="222"/>
      <c r="B834" s="222"/>
      <c r="C834" s="216"/>
      <c r="D834" s="216"/>
      <c r="E834" s="216"/>
      <c r="F834" s="216"/>
      <c r="G834" s="222"/>
      <c r="H834" s="216"/>
      <c r="I834" s="216"/>
      <c r="J834" s="216"/>
      <c r="K834" s="222"/>
    </row>
    <row r="835" spans="1:11" ht="12.75" customHeight="1" x14ac:dyDescent="0.25">
      <c r="A835" s="222"/>
      <c r="B835" s="222"/>
      <c r="C835" s="216"/>
      <c r="D835" s="216"/>
      <c r="E835" s="216"/>
      <c r="F835" s="216"/>
      <c r="G835" s="222"/>
      <c r="H835" s="216"/>
      <c r="I835" s="216"/>
      <c r="J835" s="216"/>
      <c r="K835" s="222"/>
    </row>
    <row r="836" spans="1:11" ht="12.75" customHeight="1" x14ac:dyDescent="0.25">
      <c r="A836" s="222"/>
      <c r="B836" s="222"/>
      <c r="C836" s="216"/>
      <c r="D836" s="216"/>
      <c r="E836" s="216"/>
      <c r="F836" s="216"/>
      <c r="G836" s="222"/>
      <c r="H836" s="216"/>
      <c r="I836" s="216"/>
      <c r="J836" s="216"/>
      <c r="K836" s="222"/>
    </row>
    <row r="837" spans="1:11" ht="12.75" customHeight="1" x14ac:dyDescent="0.25">
      <c r="A837" s="222"/>
      <c r="B837" s="222"/>
      <c r="C837" s="216"/>
      <c r="D837" s="216"/>
      <c r="E837" s="216"/>
      <c r="F837" s="216"/>
      <c r="G837" s="222"/>
      <c r="H837" s="216"/>
      <c r="I837" s="216"/>
      <c r="J837" s="216"/>
      <c r="K837" s="222"/>
    </row>
    <row r="838" spans="1:11" ht="12.75" customHeight="1" x14ac:dyDescent="0.25">
      <c r="A838" s="222"/>
      <c r="B838" s="222"/>
      <c r="C838" s="216"/>
      <c r="D838" s="216"/>
      <c r="E838" s="216"/>
      <c r="F838" s="216"/>
      <c r="G838" s="222"/>
      <c r="H838" s="216"/>
      <c r="I838" s="216"/>
      <c r="J838" s="216"/>
      <c r="K838" s="222"/>
    </row>
    <row r="839" spans="1:11" ht="12.75" customHeight="1" x14ac:dyDescent="0.25">
      <c r="A839" s="222"/>
      <c r="B839" s="222"/>
      <c r="C839" s="216"/>
      <c r="D839" s="216"/>
      <c r="E839" s="216"/>
      <c r="F839" s="216"/>
      <c r="G839" s="222"/>
      <c r="H839" s="216"/>
      <c r="I839" s="216"/>
      <c r="J839" s="216"/>
      <c r="K839" s="222"/>
    </row>
    <row r="840" spans="1:11" ht="12.75" customHeight="1" x14ac:dyDescent="0.25">
      <c r="A840" s="222"/>
      <c r="B840" s="222"/>
      <c r="C840" s="216"/>
      <c r="D840" s="216"/>
      <c r="E840" s="216"/>
      <c r="F840" s="216"/>
      <c r="G840" s="222"/>
      <c r="H840" s="216"/>
      <c r="I840" s="216"/>
      <c r="J840" s="216"/>
      <c r="K840" s="222"/>
    </row>
    <row r="841" spans="1:11" ht="12.75" customHeight="1" x14ac:dyDescent="0.25">
      <c r="A841" s="222"/>
      <c r="B841" s="222"/>
      <c r="C841" s="216"/>
      <c r="D841" s="216"/>
      <c r="E841" s="216"/>
      <c r="F841" s="216"/>
      <c r="G841" s="222"/>
      <c r="H841" s="216"/>
      <c r="I841" s="216"/>
      <c r="J841" s="216"/>
      <c r="K841" s="222"/>
    </row>
    <row r="842" spans="1:11" ht="12.75" customHeight="1" x14ac:dyDescent="0.25">
      <c r="A842" s="222"/>
      <c r="B842" s="222"/>
      <c r="C842" s="216"/>
      <c r="D842" s="216"/>
      <c r="E842" s="216"/>
      <c r="F842" s="216"/>
      <c r="G842" s="222"/>
      <c r="H842" s="216"/>
      <c r="I842" s="216"/>
      <c r="J842" s="216"/>
      <c r="K842" s="222"/>
    </row>
    <row r="843" spans="1:11" ht="12.75" customHeight="1" x14ac:dyDescent="0.25">
      <c r="A843" s="222"/>
      <c r="B843" s="222"/>
      <c r="C843" s="216"/>
      <c r="D843" s="216"/>
      <c r="E843" s="216"/>
      <c r="F843" s="216"/>
      <c r="G843" s="222"/>
      <c r="H843" s="216"/>
      <c r="I843" s="216"/>
      <c r="J843" s="216"/>
      <c r="K843" s="222"/>
    </row>
    <row r="844" spans="1:11" ht="12.75" customHeight="1" x14ac:dyDescent="0.25">
      <c r="A844" s="222"/>
      <c r="B844" s="222"/>
      <c r="C844" s="216"/>
      <c r="D844" s="216"/>
      <c r="E844" s="216"/>
      <c r="F844" s="216"/>
      <c r="G844" s="222"/>
      <c r="H844" s="216"/>
      <c r="I844" s="216"/>
      <c r="J844" s="216"/>
      <c r="K844" s="222"/>
    </row>
    <row r="845" spans="1:11" ht="12.75" customHeight="1" x14ac:dyDescent="0.25">
      <c r="A845" s="222"/>
      <c r="B845" s="222"/>
      <c r="C845" s="216"/>
      <c r="D845" s="216"/>
      <c r="E845" s="216"/>
      <c r="F845" s="216"/>
      <c r="G845" s="222"/>
      <c r="H845" s="216"/>
      <c r="I845" s="216"/>
      <c r="J845" s="216"/>
      <c r="K845" s="222"/>
    </row>
    <row r="846" spans="1:11" ht="12.75" customHeight="1" x14ac:dyDescent="0.25">
      <c r="A846" s="222"/>
      <c r="B846" s="222"/>
      <c r="C846" s="216"/>
      <c r="D846" s="216"/>
      <c r="E846" s="216"/>
      <c r="F846" s="216"/>
      <c r="G846" s="222"/>
      <c r="H846" s="216"/>
      <c r="I846" s="216"/>
      <c r="J846" s="216"/>
      <c r="K846" s="222"/>
    </row>
    <row r="847" spans="1:11" ht="12.75" customHeight="1" x14ac:dyDescent="0.25">
      <c r="A847" s="222"/>
      <c r="B847" s="222"/>
      <c r="C847" s="216"/>
      <c r="D847" s="216"/>
      <c r="E847" s="216"/>
      <c r="F847" s="216"/>
      <c r="G847" s="222"/>
      <c r="H847" s="216"/>
      <c r="I847" s="216"/>
      <c r="J847" s="216"/>
      <c r="K847" s="222"/>
    </row>
    <row r="848" spans="1:11" ht="12.75" customHeight="1" x14ac:dyDescent="0.25">
      <c r="A848" s="222"/>
      <c r="B848" s="222"/>
      <c r="C848" s="216"/>
      <c r="D848" s="216"/>
      <c r="E848" s="216"/>
      <c r="F848" s="216"/>
      <c r="G848" s="222"/>
      <c r="H848" s="216"/>
      <c r="I848" s="216"/>
      <c r="J848" s="216"/>
      <c r="K848" s="222"/>
    </row>
    <row r="849" spans="1:11" ht="12.75" customHeight="1" x14ac:dyDescent="0.25">
      <c r="A849" s="222"/>
      <c r="B849" s="222"/>
      <c r="C849" s="216"/>
      <c r="D849" s="216"/>
      <c r="E849" s="216"/>
      <c r="F849" s="216"/>
      <c r="G849" s="222"/>
      <c r="H849" s="216"/>
      <c r="I849" s="216"/>
      <c r="J849" s="216"/>
      <c r="K849" s="222"/>
    </row>
    <row r="850" spans="1:11" ht="12.75" customHeight="1" x14ac:dyDescent="0.25">
      <c r="A850" s="222"/>
      <c r="B850" s="222"/>
      <c r="C850" s="216"/>
      <c r="D850" s="216"/>
      <c r="E850" s="216"/>
      <c r="F850" s="216"/>
      <c r="G850" s="222"/>
      <c r="H850" s="216"/>
      <c r="I850" s="216"/>
      <c r="J850" s="216"/>
      <c r="K850" s="222"/>
    </row>
    <row r="851" spans="1:11" ht="12.75" customHeight="1" x14ac:dyDescent="0.25">
      <c r="A851" s="222"/>
      <c r="B851" s="222"/>
      <c r="C851" s="216"/>
      <c r="D851" s="216"/>
      <c r="E851" s="216"/>
      <c r="F851" s="216"/>
      <c r="G851" s="222"/>
      <c r="H851" s="216"/>
      <c r="I851" s="216"/>
      <c r="J851" s="216"/>
      <c r="K851" s="222"/>
    </row>
    <row r="852" spans="1:11" ht="12.75" customHeight="1" x14ac:dyDescent="0.25">
      <c r="A852" s="222"/>
      <c r="B852" s="222"/>
      <c r="C852" s="216"/>
      <c r="D852" s="216"/>
      <c r="E852" s="216"/>
      <c r="F852" s="216"/>
      <c r="G852" s="222"/>
      <c r="H852" s="216"/>
      <c r="I852" s="216"/>
      <c r="J852" s="216"/>
      <c r="K852" s="222"/>
    </row>
    <row r="853" spans="1:11" ht="12.75" customHeight="1" x14ac:dyDescent="0.25">
      <c r="A853" s="222"/>
      <c r="B853" s="222"/>
      <c r="C853" s="216"/>
      <c r="D853" s="216"/>
      <c r="E853" s="216"/>
      <c r="F853" s="216"/>
      <c r="G853" s="222"/>
      <c r="H853" s="216"/>
      <c r="I853" s="216"/>
      <c r="J853" s="216"/>
      <c r="K853" s="222"/>
    </row>
    <row r="854" spans="1:11" ht="12.75" customHeight="1" x14ac:dyDescent="0.25">
      <c r="A854" s="222"/>
      <c r="B854" s="222"/>
      <c r="C854" s="216"/>
      <c r="D854" s="216"/>
      <c r="E854" s="216"/>
      <c r="F854" s="216"/>
      <c r="G854" s="222"/>
      <c r="H854" s="216"/>
      <c r="I854" s="216"/>
      <c r="J854" s="216"/>
      <c r="K854" s="222"/>
    </row>
    <row r="855" spans="1:11" ht="12.75" customHeight="1" x14ac:dyDescent="0.25">
      <c r="A855" s="222"/>
      <c r="B855" s="222"/>
      <c r="C855" s="216"/>
      <c r="D855" s="216"/>
      <c r="E855" s="216"/>
      <c r="F855" s="216"/>
      <c r="G855" s="222"/>
      <c r="H855" s="216"/>
      <c r="I855" s="216"/>
      <c r="J855" s="216"/>
      <c r="K855" s="222"/>
    </row>
    <row r="856" spans="1:11" ht="12.75" customHeight="1" x14ac:dyDescent="0.25">
      <c r="A856" s="222"/>
      <c r="B856" s="222"/>
      <c r="C856" s="216"/>
      <c r="D856" s="216"/>
      <c r="E856" s="216"/>
      <c r="F856" s="216"/>
      <c r="G856" s="222"/>
      <c r="H856" s="216"/>
      <c r="I856" s="216"/>
      <c r="J856" s="216"/>
      <c r="K856" s="222"/>
    </row>
    <row r="857" spans="1:11" ht="12.75" customHeight="1" x14ac:dyDescent="0.25">
      <c r="A857" s="222"/>
      <c r="B857" s="222"/>
      <c r="C857" s="216"/>
      <c r="D857" s="216"/>
      <c r="E857" s="216"/>
      <c r="F857" s="216"/>
      <c r="G857" s="222"/>
      <c r="H857" s="216"/>
      <c r="I857" s="216"/>
      <c r="J857" s="216"/>
      <c r="K857" s="222"/>
    </row>
    <row r="858" spans="1:11" ht="12.75" customHeight="1" x14ac:dyDescent="0.25">
      <c r="A858" s="222"/>
      <c r="B858" s="222"/>
      <c r="C858" s="216"/>
      <c r="D858" s="216"/>
      <c r="E858" s="216"/>
      <c r="F858" s="216"/>
      <c r="G858" s="222"/>
      <c r="H858" s="216"/>
      <c r="I858" s="216"/>
      <c r="J858" s="216"/>
      <c r="K858" s="222"/>
    </row>
    <row r="859" spans="1:11" ht="12.75" customHeight="1" x14ac:dyDescent="0.25">
      <c r="A859" s="222"/>
      <c r="B859" s="222"/>
      <c r="C859" s="216"/>
      <c r="D859" s="216"/>
      <c r="E859" s="216"/>
      <c r="F859" s="216"/>
      <c r="G859" s="222"/>
      <c r="H859" s="216"/>
      <c r="I859" s="216"/>
      <c r="J859" s="216"/>
      <c r="K859" s="222"/>
    </row>
    <row r="860" spans="1:11" ht="12.75" customHeight="1" x14ac:dyDescent="0.25">
      <c r="A860" s="222"/>
      <c r="B860" s="222"/>
      <c r="C860" s="216"/>
      <c r="D860" s="216"/>
      <c r="E860" s="216"/>
      <c r="F860" s="216"/>
      <c r="G860" s="222"/>
      <c r="H860" s="216"/>
      <c r="I860" s="216"/>
      <c r="J860" s="216"/>
      <c r="K860" s="222"/>
    </row>
    <row r="861" spans="1:11" ht="12.75" customHeight="1" x14ac:dyDescent="0.25">
      <c r="A861" s="222"/>
      <c r="B861" s="222"/>
      <c r="C861" s="216"/>
      <c r="D861" s="216"/>
      <c r="E861" s="216"/>
      <c r="F861" s="216"/>
      <c r="G861" s="222"/>
      <c r="H861" s="216"/>
      <c r="I861" s="216"/>
      <c r="J861" s="216"/>
      <c r="K861" s="222"/>
    </row>
    <row r="862" spans="1:11" ht="12.75" customHeight="1" x14ac:dyDescent="0.25">
      <c r="A862" s="222"/>
      <c r="B862" s="222"/>
      <c r="C862" s="216"/>
      <c r="D862" s="216"/>
      <c r="E862" s="216"/>
      <c r="F862" s="216"/>
      <c r="G862" s="222"/>
      <c r="H862" s="216"/>
      <c r="I862" s="216"/>
      <c r="J862" s="216"/>
      <c r="K862" s="222"/>
    </row>
    <row r="863" spans="1:11" ht="12.75" customHeight="1" x14ac:dyDescent="0.25">
      <c r="A863" s="222"/>
      <c r="B863" s="222"/>
      <c r="C863" s="216"/>
      <c r="D863" s="216"/>
      <c r="E863" s="216"/>
      <c r="F863" s="216"/>
      <c r="G863" s="222"/>
      <c r="H863" s="216"/>
      <c r="I863" s="216"/>
      <c r="J863" s="216"/>
      <c r="K863" s="222"/>
    </row>
    <row r="864" spans="1:11" ht="12.75" customHeight="1" x14ac:dyDescent="0.25">
      <c r="A864" s="222"/>
      <c r="B864" s="222"/>
      <c r="C864" s="216"/>
      <c r="D864" s="216"/>
      <c r="E864" s="216"/>
      <c r="F864" s="216"/>
      <c r="G864" s="222"/>
      <c r="H864" s="216"/>
      <c r="I864" s="216"/>
      <c r="J864" s="216"/>
      <c r="K864" s="222"/>
    </row>
    <row r="865" spans="1:11" ht="12.75" customHeight="1" x14ac:dyDescent="0.25">
      <c r="A865" s="222"/>
      <c r="B865" s="222"/>
      <c r="C865" s="216"/>
      <c r="D865" s="216"/>
      <c r="E865" s="216"/>
      <c r="F865" s="216"/>
      <c r="G865" s="222"/>
      <c r="H865" s="216"/>
      <c r="I865" s="216"/>
      <c r="J865" s="216"/>
      <c r="K865" s="222"/>
    </row>
    <row r="866" spans="1:11" ht="12.75" customHeight="1" x14ac:dyDescent="0.25">
      <c r="A866" s="222"/>
      <c r="B866" s="222"/>
      <c r="C866" s="216"/>
      <c r="D866" s="216"/>
      <c r="E866" s="216"/>
      <c r="F866" s="216"/>
      <c r="G866" s="222"/>
      <c r="H866" s="216"/>
      <c r="I866" s="216"/>
      <c r="J866" s="216"/>
      <c r="K866" s="222"/>
    </row>
    <row r="867" spans="1:11" ht="12.75" customHeight="1" x14ac:dyDescent="0.25">
      <c r="A867" s="222"/>
      <c r="B867" s="222"/>
      <c r="C867" s="216"/>
      <c r="D867" s="216"/>
      <c r="E867" s="216"/>
      <c r="F867" s="216"/>
      <c r="G867" s="222"/>
      <c r="H867" s="216"/>
      <c r="I867" s="216"/>
      <c r="J867" s="216"/>
      <c r="K867" s="222"/>
    </row>
    <row r="868" spans="1:11" ht="12.75" customHeight="1" x14ac:dyDescent="0.25">
      <c r="A868" s="222"/>
      <c r="B868" s="222"/>
      <c r="C868" s="216"/>
      <c r="D868" s="216"/>
      <c r="E868" s="216"/>
      <c r="F868" s="216"/>
      <c r="G868" s="222"/>
      <c r="H868" s="216"/>
      <c r="I868" s="216"/>
      <c r="J868" s="216"/>
      <c r="K868" s="222"/>
    </row>
    <row r="869" spans="1:11" ht="12.75" customHeight="1" x14ac:dyDescent="0.25">
      <c r="A869" s="222"/>
      <c r="B869" s="222"/>
      <c r="C869" s="216"/>
      <c r="D869" s="216"/>
      <c r="E869" s="216"/>
      <c r="F869" s="216"/>
      <c r="G869" s="222"/>
      <c r="H869" s="216"/>
      <c r="I869" s="216"/>
      <c r="J869" s="216"/>
      <c r="K869" s="222"/>
    </row>
    <row r="870" spans="1:11" ht="12.75" customHeight="1" x14ac:dyDescent="0.25">
      <c r="A870" s="222"/>
      <c r="B870" s="222"/>
      <c r="C870" s="216"/>
      <c r="D870" s="216"/>
      <c r="E870" s="216"/>
      <c r="F870" s="216"/>
      <c r="G870" s="222"/>
      <c r="H870" s="216"/>
      <c r="I870" s="216"/>
      <c r="J870" s="216"/>
      <c r="K870" s="222"/>
    </row>
    <row r="871" spans="1:11" ht="12.75" customHeight="1" x14ac:dyDescent="0.25">
      <c r="A871" s="222"/>
      <c r="B871" s="222"/>
      <c r="C871" s="216"/>
      <c r="D871" s="216"/>
      <c r="E871" s="216"/>
      <c r="F871" s="216"/>
      <c r="G871" s="222"/>
      <c r="H871" s="216"/>
      <c r="I871" s="216"/>
      <c r="J871" s="216"/>
      <c r="K871" s="222"/>
    </row>
    <row r="872" spans="1:11" ht="12.75" customHeight="1" x14ac:dyDescent="0.25">
      <c r="A872" s="222"/>
      <c r="B872" s="222"/>
      <c r="C872" s="216"/>
      <c r="D872" s="216"/>
      <c r="E872" s="216"/>
      <c r="F872" s="216"/>
      <c r="G872" s="222"/>
      <c r="H872" s="216"/>
      <c r="I872" s="216"/>
      <c r="J872" s="216"/>
      <c r="K872" s="222"/>
    </row>
    <row r="873" spans="1:11" ht="12.75" customHeight="1" x14ac:dyDescent="0.25">
      <c r="A873" s="222"/>
      <c r="B873" s="222"/>
      <c r="C873" s="216"/>
      <c r="D873" s="216"/>
      <c r="E873" s="216"/>
      <c r="F873" s="216"/>
      <c r="G873" s="222"/>
      <c r="H873" s="216"/>
      <c r="I873" s="216"/>
      <c r="J873" s="216"/>
      <c r="K873" s="222"/>
    </row>
    <row r="874" spans="1:11" ht="12.75" customHeight="1" x14ac:dyDescent="0.25">
      <c r="A874" s="222"/>
      <c r="B874" s="222"/>
      <c r="C874" s="216"/>
      <c r="D874" s="216"/>
      <c r="E874" s="216"/>
      <c r="F874" s="216"/>
      <c r="G874" s="222"/>
      <c r="H874" s="216"/>
      <c r="I874" s="216"/>
      <c r="J874" s="216"/>
      <c r="K874" s="222"/>
    </row>
    <row r="875" spans="1:11" ht="12.75" customHeight="1" x14ac:dyDescent="0.25">
      <c r="A875" s="222"/>
      <c r="B875" s="222"/>
      <c r="C875" s="216"/>
      <c r="D875" s="216"/>
      <c r="E875" s="216"/>
      <c r="F875" s="216"/>
      <c r="G875" s="222"/>
      <c r="H875" s="216"/>
      <c r="I875" s="216"/>
      <c r="J875" s="216"/>
      <c r="K875" s="222"/>
    </row>
    <row r="876" spans="1:11" ht="12.75" customHeight="1" x14ac:dyDescent="0.25">
      <c r="A876" s="222"/>
      <c r="B876" s="222"/>
      <c r="C876" s="216"/>
      <c r="D876" s="216"/>
      <c r="E876" s="216"/>
      <c r="F876" s="216"/>
      <c r="G876" s="222"/>
      <c r="H876" s="216"/>
      <c r="I876" s="216"/>
      <c r="J876" s="216"/>
      <c r="K876" s="222"/>
    </row>
    <row r="877" spans="1:11" ht="12.75" customHeight="1" x14ac:dyDescent="0.25">
      <c r="A877" s="222"/>
      <c r="B877" s="222"/>
      <c r="C877" s="216"/>
      <c r="D877" s="216"/>
      <c r="E877" s="216"/>
      <c r="F877" s="216"/>
      <c r="G877" s="222"/>
      <c r="H877" s="216"/>
      <c r="I877" s="216"/>
      <c r="J877" s="216"/>
      <c r="K877" s="222"/>
    </row>
    <row r="878" spans="1:11" ht="12.75" customHeight="1" x14ac:dyDescent="0.25">
      <c r="A878" s="222"/>
      <c r="B878" s="222"/>
      <c r="C878" s="216"/>
      <c r="D878" s="216"/>
      <c r="E878" s="216"/>
      <c r="F878" s="216"/>
      <c r="G878" s="222"/>
      <c r="H878" s="216"/>
      <c r="I878" s="216"/>
      <c r="J878" s="216"/>
      <c r="K878" s="222"/>
    </row>
    <row r="879" spans="1:11" ht="12.75" customHeight="1" x14ac:dyDescent="0.25">
      <c r="A879" s="222"/>
      <c r="B879" s="222"/>
      <c r="C879" s="216"/>
      <c r="D879" s="216"/>
      <c r="E879" s="216"/>
      <c r="F879" s="216"/>
      <c r="G879" s="222"/>
      <c r="H879" s="216"/>
      <c r="I879" s="216"/>
      <c r="J879" s="216"/>
      <c r="K879" s="222"/>
    </row>
    <row r="880" spans="1:11" ht="12.75" customHeight="1" x14ac:dyDescent="0.25">
      <c r="A880" s="222"/>
      <c r="B880" s="222"/>
      <c r="C880" s="216"/>
      <c r="D880" s="216"/>
      <c r="E880" s="216"/>
      <c r="F880" s="216"/>
      <c r="G880" s="222"/>
      <c r="H880" s="216"/>
      <c r="I880" s="216"/>
      <c r="J880" s="216"/>
      <c r="K880" s="222"/>
    </row>
    <row r="881" spans="1:11" ht="12.75" customHeight="1" x14ac:dyDescent="0.25">
      <c r="A881" s="222"/>
      <c r="B881" s="222"/>
      <c r="C881" s="216"/>
      <c r="D881" s="216"/>
      <c r="E881" s="216"/>
      <c r="F881" s="216"/>
      <c r="G881" s="222"/>
      <c r="H881" s="216"/>
      <c r="I881" s="216"/>
      <c r="J881" s="216"/>
      <c r="K881" s="222"/>
    </row>
    <row r="882" spans="1:11" ht="12.75" customHeight="1" x14ac:dyDescent="0.25">
      <c r="A882" s="222"/>
      <c r="B882" s="222"/>
      <c r="C882" s="216"/>
      <c r="D882" s="216"/>
      <c r="E882" s="216"/>
      <c r="F882" s="216"/>
      <c r="G882" s="222"/>
      <c r="H882" s="216"/>
      <c r="I882" s="216"/>
      <c r="J882" s="216"/>
      <c r="K882" s="222"/>
    </row>
    <row r="883" spans="1:11" ht="12.75" customHeight="1" x14ac:dyDescent="0.25">
      <c r="A883" s="222"/>
      <c r="B883" s="222"/>
      <c r="C883" s="216"/>
      <c r="D883" s="216"/>
      <c r="E883" s="216"/>
      <c r="F883" s="216"/>
      <c r="G883" s="222"/>
      <c r="H883" s="216"/>
      <c r="I883" s="216"/>
      <c r="J883" s="216"/>
      <c r="K883" s="222"/>
    </row>
    <row r="884" spans="1:11" ht="12.75" customHeight="1" x14ac:dyDescent="0.25">
      <c r="A884" s="222"/>
      <c r="B884" s="222"/>
      <c r="C884" s="216"/>
      <c r="D884" s="216"/>
      <c r="E884" s="216"/>
      <c r="F884" s="216"/>
      <c r="G884" s="222"/>
      <c r="H884" s="216"/>
      <c r="I884" s="216"/>
      <c r="J884" s="216"/>
      <c r="K884" s="222"/>
    </row>
    <row r="885" spans="1:11" ht="12.75" customHeight="1" x14ac:dyDescent="0.25">
      <c r="A885" s="222"/>
      <c r="B885" s="222"/>
      <c r="C885" s="216"/>
      <c r="D885" s="216"/>
      <c r="E885" s="216"/>
      <c r="F885" s="216"/>
      <c r="G885" s="222"/>
      <c r="H885" s="216"/>
      <c r="I885" s="216"/>
      <c r="J885" s="216"/>
      <c r="K885" s="222"/>
    </row>
    <row r="886" spans="1:11" ht="12.75" customHeight="1" x14ac:dyDescent="0.25">
      <c r="A886" s="222"/>
      <c r="B886" s="222"/>
      <c r="C886" s="216"/>
      <c r="D886" s="216"/>
      <c r="E886" s="216"/>
      <c r="F886" s="216"/>
      <c r="G886" s="222"/>
      <c r="H886" s="216"/>
      <c r="I886" s="216"/>
      <c r="J886" s="216"/>
      <c r="K886" s="222"/>
    </row>
    <row r="887" spans="1:11" ht="12.75" customHeight="1" x14ac:dyDescent="0.25">
      <c r="A887" s="222"/>
      <c r="B887" s="222"/>
      <c r="C887" s="216"/>
      <c r="D887" s="216"/>
      <c r="E887" s="216"/>
      <c r="F887" s="216"/>
      <c r="G887" s="222"/>
      <c r="H887" s="216"/>
      <c r="I887" s="216"/>
      <c r="J887" s="216"/>
      <c r="K887" s="222"/>
    </row>
    <row r="888" spans="1:11" ht="12.75" customHeight="1" x14ac:dyDescent="0.25">
      <c r="A888" s="222"/>
      <c r="B888" s="222"/>
      <c r="C888" s="216"/>
      <c r="D888" s="216"/>
      <c r="E888" s="216"/>
      <c r="F888" s="216"/>
      <c r="G888" s="222"/>
      <c r="H888" s="216"/>
      <c r="I888" s="216"/>
      <c r="J888" s="216"/>
      <c r="K888" s="222"/>
    </row>
    <row r="889" spans="1:11" ht="12.75" customHeight="1" x14ac:dyDescent="0.25">
      <c r="A889" s="222"/>
      <c r="B889" s="222"/>
      <c r="C889" s="216"/>
      <c r="D889" s="216"/>
      <c r="E889" s="216"/>
      <c r="F889" s="216"/>
      <c r="G889" s="222"/>
      <c r="H889" s="216"/>
      <c r="I889" s="216"/>
      <c r="J889" s="216"/>
      <c r="K889" s="222"/>
    </row>
    <row r="890" spans="1:11" ht="12.75" customHeight="1" x14ac:dyDescent="0.25">
      <c r="A890" s="222"/>
      <c r="B890" s="222"/>
      <c r="C890" s="216"/>
      <c r="D890" s="216"/>
      <c r="E890" s="216"/>
      <c r="F890" s="216"/>
      <c r="G890" s="222"/>
      <c r="H890" s="216"/>
      <c r="I890" s="216"/>
      <c r="J890" s="216"/>
      <c r="K890" s="222"/>
    </row>
    <row r="891" spans="1:11" ht="12.75" customHeight="1" x14ac:dyDescent="0.25">
      <c r="A891" s="222"/>
      <c r="B891" s="222"/>
      <c r="C891" s="216"/>
      <c r="D891" s="216"/>
      <c r="E891" s="216"/>
      <c r="F891" s="216"/>
      <c r="G891" s="222"/>
      <c r="H891" s="216"/>
      <c r="I891" s="216"/>
      <c r="J891" s="216"/>
      <c r="K891" s="222"/>
    </row>
    <row r="892" spans="1:11" ht="12.75" customHeight="1" x14ac:dyDescent="0.25">
      <c r="A892" s="222"/>
      <c r="B892" s="222"/>
      <c r="C892" s="216"/>
      <c r="D892" s="216"/>
      <c r="E892" s="216"/>
      <c r="F892" s="216"/>
      <c r="G892" s="222"/>
      <c r="H892" s="216"/>
      <c r="I892" s="216"/>
      <c r="J892" s="216"/>
      <c r="K892" s="222"/>
    </row>
    <row r="893" spans="1:11" ht="12.75" customHeight="1" x14ac:dyDescent="0.25">
      <c r="A893" s="222"/>
      <c r="B893" s="222"/>
      <c r="C893" s="216"/>
      <c r="D893" s="216"/>
      <c r="E893" s="216"/>
      <c r="F893" s="216"/>
      <c r="G893" s="222"/>
      <c r="H893" s="216"/>
      <c r="I893" s="216"/>
      <c r="J893" s="216"/>
      <c r="K893" s="222"/>
    </row>
    <row r="894" spans="1:11" ht="12.75" customHeight="1" x14ac:dyDescent="0.25">
      <c r="A894" s="222"/>
      <c r="B894" s="222"/>
      <c r="C894" s="216"/>
      <c r="D894" s="216"/>
      <c r="E894" s="216"/>
      <c r="F894" s="216"/>
      <c r="G894" s="222"/>
      <c r="H894" s="216"/>
      <c r="I894" s="216"/>
      <c r="J894" s="216"/>
      <c r="K894" s="222"/>
    </row>
    <row r="895" spans="1:11" ht="12.75" customHeight="1" x14ac:dyDescent="0.25">
      <c r="A895" s="222"/>
      <c r="B895" s="222"/>
      <c r="C895" s="216"/>
      <c r="D895" s="216"/>
      <c r="E895" s="216"/>
      <c r="F895" s="216"/>
      <c r="G895" s="222"/>
      <c r="H895" s="216"/>
      <c r="I895" s="216"/>
      <c r="J895" s="216"/>
      <c r="K895" s="222"/>
    </row>
    <row r="896" spans="1:11" ht="12.75" customHeight="1" x14ac:dyDescent="0.25">
      <c r="A896" s="222"/>
      <c r="B896" s="222"/>
      <c r="C896" s="216"/>
      <c r="D896" s="216"/>
      <c r="E896" s="216"/>
      <c r="F896" s="216"/>
      <c r="G896" s="222"/>
      <c r="H896" s="216"/>
      <c r="I896" s="216"/>
      <c r="J896" s="216"/>
      <c r="K896" s="222"/>
    </row>
    <row r="897" spans="1:11" ht="12.75" customHeight="1" x14ac:dyDescent="0.25">
      <c r="A897" s="222"/>
      <c r="B897" s="222"/>
      <c r="C897" s="216"/>
      <c r="D897" s="216"/>
      <c r="E897" s="216"/>
      <c r="F897" s="216"/>
      <c r="G897" s="222"/>
      <c r="H897" s="216"/>
      <c r="I897" s="216"/>
      <c r="J897" s="216"/>
      <c r="K897" s="222"/>
    </row>
    <row r="898" spans="1:11" ht="12.75" customHeight="1" x14ac:dyDescent="0.25">
      <c r="A898" s="222"/>
      <c r="B898" s="222"/>
      <c r="C898" s="216"/>
      <c r="D898" s="216"/>
      <c r="E898" s="216"/>
      <c r="F898" s="216"/>
      <c r="G898" s="222"/>
      <c r="H898" s="216"/>
      <c r="I898" s="216"/>
      <c r="J898" s="216"/>
      <c r="K898" s="222"/>
    </row>
    <row r="899" spans="1:11" ht="12.75" customHeight="1" x14ac:dyDescent="0.25">
      <c r="A899" s="222"/>
      <c r="B899" s="222"/>
      <c r="C899" s="216"/>
      <c r="D899" s="216"/>
      <c r="E899" s="216"/>
      <c r="F899" s="216"/>
      <c r="G899" s="222"/>
      <c r="H899" s="216"/>
      <c r="I899" s="216"/>
      <c r="J899" s="216"/>
      <c r="K899" s="222"/>
    </row>
    <row r="900" spans="1:11" ht="12.75" customHeight="1" x14ac:dyDescent="0.25">
      <c r="A900" s="222"/>
      <c r="B900" s="222"/>
      <c r="C900" s="216"/>
      <c r="D900" s="216"/>
      <c r="E900" s="216"/>
      <c r="F900" s="216"/>
      <c r="G900" s="222"/>
      <c r="H900" s="216"/>
      <c r="I900" s="216"/>
      <c r="J900" s="216"/>
      <c r="K900" s="222"/>
    </row>
    <row r="901" spans="1:11" ht="12.75" customHeight="1" x14ac:dyDescent="0.25">
      <c r="A901" s="222"/>
      <c r="B901" s="222"/>
      <c r="C901" s="216"/>
      <c r="D901" s="216"/>
      <c r="E901" s="216"/>
      <c r="F901" s="216"/>
      <c r="G901" s="222"/>
      <c r="H901" s="216"/>
      <c r="I901" s="216"/>
      <c r="J901" s="216"/>
      <c r="K901" s="222"/>
    </row>
    <row r="902" spans="1:11" ht="12.75" customHeight="1" x14ac:dyDescent="0.25">
      <c r="A902" s="222"/>
      <c r="B902" s="222"/>
      <c r="C902" s="216"/>
      <c r="D902" s="216"/>
      <c r="E902" s="216"/>
      <c r="F902" s="216"/>
      <c r="G902" s="222"/>
      <c r="H902" s="216"/>
      <c r="I902" s="216"/>
      <c r="J902" s="216"/>
      <c r="K902" s="222"/>
    </row>
    <row r="903" spans="1:11" ht="12.75" customHeight="1" x14ac:dyDescent="0.25">
      <c r="A903" s="222"/>
      <c r="B903" s="222"/>
      <c r="C903" s="216"/>
      <c r="D903" s="216"/>
      <c r="E903" s="216"/>
      <c r="F903" s="216"/>
      <c r="G903" s="222"/>
      <c r="H903" s="216"/>
      <c r="I903" s="216"/>
      <c r="J903" s="216"/>
      <c r="K903" s="222"/>
    </row>
    <row r="904" spans="1:11" ht="12.75" customHeight="1" x14ac:dyDescent="0.25">
      <c r="A904" s="222"/>
      <c r="B904" s="222"/>
      <c r="C904" s="216"/>
      <c r="D904" s="216"/>
      <c r="E904" s="216"/>
      <c r="F904" s="216"/>
      <c r="G904" s="222"/>
      <c r="H904" s="216"/>
      <c r="I904" s="216"/>
      <c r="J904" s="216"/>
      <c r="K904" s="222"/>
    </row>
    <row r="905" spans="1:11" ht="12.75" customHeight="1" x14ac:dyDescent="0.25">
      <c r="A905" s="222"/>
      <c r="B905" s="222"/>
      <c r="C905" s="216"/>
      <c r="D905" s="216"/>
      <c r="E905" s="216"/>
      <c r="F905" s="216"/>
      <c r="G905" s="222"/>
      <c r="H905" s="216"/>
      <c r="I905" s="216"/>
      <c r="J905" s="216"/>
      <c r="K905" s="222"/>
    </row>
    <row r="906" spans="1:11" ht="12.75" customHeight="1" x14ac:dyDescent="0.25">
      <c r="A906" s="222"/>
      <c r="B906" s="222"/>
      <c r="C906" s="216"/>
      <c r="D906" s="216"/>
      <c r="E906" s="216"/>
      <c r="F906" s="216"/>
      <c r="G906" s="222"/>
      <c r="H906" s="216"/>
      <c r="I906" s="216"/>
      <c r="J906" s="216"/>
      <c r="K906" s="222"/>
    </row>
    <row r="907" spans="1:11" ht="12.75" customHeight="1" x14ac:dyDescent="0.25">
      <c r="A907" s="222"/>
      <c r="B907" s="222"/>
      <c r="C907" s="216"/>
      <c r="D907" s="216"/>
      <c r="E907" s="216"/>
      <c r="F907" s="216"/>
      <c r="G907" s="222"/>
      <c r="H907" s="216"/>
      <c r="I907" s="216"/>
      <c r="J907" s="216"/>
      <c r="K907" s="222"/>
    </row>
    <row r="908" spans="1:11" ht="12.75" customHeight="1" x14ac:dyDescent="0.25">
      <c r="A908" s="222"/>
      <c r="B908" s="222"/>
      <c r="C908" s="216"/>
      <c r="D908" s="216"/>
      <c r="E908" s="216"/>
      <c r="F908" s="216"/>
      <c r="G908" s="222"/>
      <c r="H908" s="216"/>
      <c r="I908" s="216"/>
      <c r="J908" s="216"/>
      <c r="K908" s="222"/>
    </row>
    <row r="909" spans="1:11" ht="12.75" customHeight="1" x14ac:dyDescent="0.25">
      <c r="A909" s="222"/>
      <c r="B909" s="222"/>
      <c r="C909" s="216"/>
      <c r="D909" s="216"/>
      <c r="E909" s="216"/>
      <c r="F909" s="216"/>
      <c r="G909" s="222"/>
      <c r="H909" s="216"/>
      <c r="I909" s="216"/>
      <c r="J909" s="216"/>
      <c r="K909" s="222"/>
    </row>
    <row r="910" spans="1:11" ht="12.75" customHeight="1" x14ac:dyDescent="0.25">
      <c r="A910" s="222"/>
      <c r="B910" s="222"/>
      <c r="C910" s="216"/>
      <c r="D910" s="216"/>
      <c r="E910" s="216"/>
      <c r="F910" s="216"/>
      <c r="G910" s="222"/>
      <c r="H910" s="216"/>
      <c r="I910" s="216"/>
      <c r="J910" s="216"/>
      <c r="K910" s="222"/>
    </row>
    <row r="911" spans="1:11" ht="12.75" customHeight="1" x14ac:dyDescent="0.25">
      <c r="A911" s="222"/>
      <c r="B911" s="222"/>
      <c r="C911" s="216"/>
      <c r="D911" s="216"/>
      <c r="E911" s="216"/>
      <c r="F911" s="216"/>
      <c r="G911" s="222"/>
      <c r="H911" s="216"/>
      <c r="I911" s="216"/>
      <c r="J911" s="216"/>
      <c r="K911" s="222"/>
    </row>
    <row r="912" spans="1:11" ht="12.75" customHeight="1" x14ac:dyDescent="0.25">
      <c r="A912" s="222"/>
      <c r="B912" s="222"/>
      <c r="C912" s="216"/>
      <c r="D912" s="216"/>
      <c r="E912" s="216"/>
      <c r="F912" s="216"/>
      <c r="G912" s="222"/>
      <c r="H912" s="216"/>
      <c r="I912" s="216"/>
      <c r="J912" s="216"/>
      <c r="K912" s="222"/>
    </row>
    <row r="913" spans="1:11" ht="12.75" customHeight="1" x14ac:dyDescent="0.25">
      <c r="A913" s="222"/>
      <c r="B913" s="222"/>
      <c r="C913" s="216"/>
      <c r="D913" s="216"/>
      <c r="E913" s="216"/>
      <c r="F913" s="216"/>
      <c r="G913" s="222"/>
      <c r="H913" s="216"/>
      <c r="I913" s="216"/>
      <c r="J913" s="216"/>
      <c r="K913" s="222"/>
    </row>
    <row r="914" spans="1:11" ht="12.75" customHeight="1" x14ac:dyDescent="0.25">
      <c r="A914" s="222"/>
      <c r="B914" s="222"/>
      <c r="C914" s="216"/>
      <c r="D914" s="216"/>
      <c r="E914" s="216"/>
      <c r="F914" s="216"/>
      <c r="G914" s="222"/>
      <c r="H914" s="216"/>
      <c r="I914" s="216"/>
      <c r="J914" s="216"/>
      <c r="K914" s="222"/>
    </row>
    <row r="915" spans="1:11" ht="12.75" customHeight="1" x14ac:dyDescent="0.25">
      <c r="A915" s="222"/>
      <c r="B915" s="222"/>
      <c r="C915" s="216"/>
      <c r="D915" s="216"/>
      <c r="E915" s="216"/>
      <c r="F915" s="216"/>
      <c r="G915" s="222"/>
      <c r="H915" s="216"/>
      <c r="I915" s="216"/>
      <c r="J915" s="216"/>
      <c r="K915" s="222"/>
    </row>
    <row r="916" spans="1:11" ht="12.75" customHeight="1" x14ac:dyDescent="0.25">
      <c r="A916" s="222"/>
      <c r="B916" s="222"/>
      <c r="C916" s="216"/>
      <c r="D916" s="216"/>
      <c r="E916" s="216"/>
      <c r="F916" s="216"/>
      <c r="G916" s="222"/>
      <c r="H916" s="216"/>
      <c r="I916" s="216"/>
      <c r="J916" s="216"/>
      <c r="K916" s="222"/>
    </row>
    <row r="917" spans="1:11" ht="12.75" customHeight="1" x14ac:dyDescent="0.25">
      <c r="A917" s="222"/>
      <c r="B917" s="222"/>
      <c r="C917" s="216"/>
      <c r="D917" s="216"/>
      <c r="E917" s="216"/>
      <c r="F917" s="216"/>
      <c r="G917" s="222"/>
      <c r="H917" s="216"/>
      <c r="I917" s="216"/>
      <c r="J917" s="216"/>
      <c r="K917" s="222"/>
    </row>
    <row r="918" spans="1:11" ht="12.75" customHeight="1" x14ac:dyDescent="0.25">
      <c r="A918" s="222"/>
      <c r="B918" s="222"/>
      <c r="C918" s="216"/>
      <c r="D918" s="216"/>
      <c r="E918" s="216"/>
      <c r="F918" s="216"/>
      <c r="G918" s="222"/>
      <c r="H918" s="216"/>
      <c r="I918" s="216"/>
      <c r="J918" s="216"/>
      <c r="K918" s="222"/>
    </row>
    <row r="919" spans="1:11" ht="12.75" customHeight="1" x14ac:dyDescent="0.25">
      <c r="A919" s="222"/>
      <c r="B919" s="222"/>
      <c r="C919" s="216"/>
      <c r="D919" s="216"/>
      <c r="E919" s="216"/>
      <c r="F919" s="216"/>
      <c r="G919" s="222"/>
      <c r="H919" s="216"/>
      <c r="I919" s="216"/>
      <c r="J919" s="216"/>
      <c r="K919" s="222"/>
    </row>
    <row r="920" spans="1:11" ht="12.75" customHeight="1" x14ac:dyDescent="0.25">
      <c r="A920" s="222"/>
      <c r="B920" s="222"/>
      <c r="C920" s="216"/>
      <c r="D920" s="216"/>
      <c r="E920" s="216"/>
      <c r="F920" s="216"/>
      <c r="G920" s="222"/>
      <c r="H920" s="216"/>
      <c r="I920" s="216"/>
      <c r="J920" s="216"/>
      <c r="K920" s="222"/>
    </row>
    <row r="921" spans="1:11" ht="12.75" customHeight="1" x14ac:dyDescent="0.25">
      <c r="A921" s="222"/>
      <c r="B921" s="222"/>
      <c r="C921" s="216"/>
      <c r="D921" s="216"/>
      <c r="E921" s="216"/>
      <c r="F921" s="216"/>
      <c r="G921" s="222"/>
      <c r="H921" s="216"/>
      <c r="I921" s="216"/>
      <c r="J921" s="216"/>
      <c r="K921" s="222"/>
    </row>
    <row r="922" spans="1:11" ht="12.75" customHeight="1" x14ac:dyDescent="0.25">
      <c r="A922" s="222"/>
      <c r="B922" s="222"/>
      <c r="C922" s="216"/>
      <c r="D922" s="216"/>
      <c r="E922" s="216"/>
      <c r="F922" s="216"/>
      <c r="G922" s="222"/>
      <c r="H922" s="216"/>
      <c r="I922" s="216"/>
      <c r="J922" s="216"/>
      <c r="K922" s="222"/>
    </row>
    <row r="923" spans="1:11" ht="12.75" customHeight="1" x14ac:dyDescent="0.25">
      <c r="A923" s="222"/>
      <c r="B923" s="222"/>
      <c r="C923" s="216"/>
      <c r="D923" s="216"/>
      <c r="E923" s="216"/>
      <c r="F923" s="216"/>
      <c r="G923" s="222"/>
      <c r="H923" s="216"/>
      <c r="I923" s="216"/>
      <c r="J923" s="216"/>
      <c r="K923" s="222"/>
    </row>
    <row r="924" spans="1:11" ht="12.75" customHeight="1" x14ac:dyDescent="0.25">
      <c r="A924" s="222"/>
      <c r="B924" s="222"/>
      <c r="C924" s="216"/>
      <c r="D924" s="216"/>
      <c r="E924" s="216"/>
      <c r="F924" s="216"/>
      <c r="G924" s="222"/>
      <c r="H924" s="216"/>
      <c r="I924" s="216"/>
      <c r="J924" s="216"/>
      <c r="K924" s="222"/>
    </row>
    <row r="925" spans="1:11" ht="12.75" customHeight="1" x14ac:dyDescent="0.25">
      <c r="A925" s="222"/>
      <c r="B925" s="222"/>
      <c r="C925" s="216"/>
      <c r="D925" s="216"/>
      <c r="E925" s="216"/>
      <c r="F925" s="216"/>
      <c r="G925" s="222"/>
      <c r="H925" s="216"/>
      <c r="I925" s="216"/>
      <c r="J925" s="216"/>
      <c r="K925" s="222"/>
    </row>
    <row r="926" spans="1:11" ht="12.75" customHeight="1" x14ac:dyDescent="0.25">
      <c r="A926" s="222"/>
      <c r="B926" s="222"/>
      <c r="C926" s="216"/>
      <c r="D926" s="216"/>
      <c r="E926" s="216"/>
      <c r="F926" s="216"/>
      <c r="G926" s="222"/>
      <c r="H926" s="216"/>
      <c r="I926" s="216"/>
      <c r="J926" s="216"/>
      <c r="K926" s="222"/>
    </row>
    <row r="927" spans="1:11" ht="12.75" customHeight="1" x14ac:dyDescent="0.25">
      <c r="A927" s="222"/>
      <c r="B927" s="222"/>
      <c r="C927" s="216"/>
      <c r="D927" s="216"/>
      <c r="E927" s="216"/>
      <c r="F927" s="216"/>
      <c r="G927" s="222"/>
      <c r="H927" s="216"/>
      <c r="I927" s="216"/>
      <c r="J927" s="216"/>
      <c r="K927" s="222"/>
    </row>
    <row r="928" spans="1:11" ht="12.75" customHeight="1" x14ac:dyDescent="0.25">
      <c r="A928" s="222"/>
      <c r="B928" s="222"/>
      <c r="C928" s="216"/>
      <c r="D928" s="216"/>
      <c r="E928" s="216"/>
      <c r="F928" s="216"/>
      <c r="G928" s="222"/>
      <c r="H928" s="216"/>
      <c r="I928" s="216"/>
      <c r="J928" s="216"/>
      <c r="K928" s="222"/>
    </row>
    <row r="929" spans="1:11" ht="12.75" customHeight="1" x14ac:dyDescent="0.25">
      <c r="A929" s="222"/>
      <c r="B929" s="222"/>
      <c r="C929" s="216"/>
      <c r="D929" s="216"/>
      <c r="E929" s="216"/>
      <c r="F929" s="216"/>
      <c r="G929" s="222"/>
      <c r="H929" s="216"/>
      <c r="I929" s="216"/>
      <c r="J929" s="216"/>
      <c r="K929" s="222"/>
    </row>
    <row r="930" spans="1:11" ht="12.75" customHeight="1" x14ac:dyDescent="0.25">
      <c r="A930" s="222"/>
      <c r="B930" s="222"/>
      <c r="C930" s="216"/>
      <c r="D930" s="216"/>
      <c r="E930" s="216"/>
      <c r="F930" s="216"/>
      <c r="G930" s="222"/>
      <c r="H930" s="216"/>
      <c r="I930" s="216"/>
      <c r="J930" s="216"/>
      <c r="K930" s="222"/>
    </row>
    <row r="931" spans="1:11" ht="12.75" customHeight="1" x14ac:dyDescent="0.25">
      <c r="A931" s="222"/>
      <c r="B931" s="222"/>
      <c r="C931" s="216"/>
      <c r="D931" s="216"/>
      <c r="E931" s="216"/>
      <c r="F931" s="216"/>
      <c r="G931" s="222"/>
      <c r="H931" s="216"/>
      <c r="I931" s="216"/>
      <c r="J931" s="216"/>
      <c r="K931" s="222"/>
    </row>
    <row r="932" spans="1:11" ht="12.75" customHeight="1" x14ac:dyDescent="0.25">
      <c r="A932" s="222"/>
      <c r="B932" s="222"/>
      <c r="C932" s="216"/>
      <c r="D932" s="216"/>
      <c r="E932" s="216"/>
      <c r="F932" s="216"/>
      <c r="G932" s="222"/>
      <c r="H932" s="216"/>
      <c r="I932" s="216"/>
      <c r="J932" s="216"/>
      <c r="K932" s="222"/>
    </row>
    <row r="933" spans="1:11" ht="12.75" customHeight="1" x14ac:dyDescent="0.25">
      <c r="A933" s="222"/>
      <c r="B933" s="222"/>
      <c r="C933" s="216"/>
      <c r="D933" s="216"/>
      <c r="E933" s="216"/>
      <c r="F933" s="216"/>
      <c r="G933" s="222"/>
      <c r="H933" s="216"/>
      <c r="I933" s="216"/>
      <c r="J933" s="216"/>
      <c r="K933" s="222"/>
    </row>
    <row r="934" spans="1:11" ht="12.75" customHeight="1" x14ac:dyDescent="0.25">
      <c r="A934" s="222"/>
      <c r="B934" s="222"/>
      <c r="C934" s="216"/>
      <c r="D934" s="216"/>
      <c r="E934" s="216"/>
      <c r="F934" s="216"/>
      <c r="G934" s="222"/>
      <c r="H934" s="216"/>
      <c r="I934" s="216"/>
      <c r="J934" s="216"/>
      <c r="K934" s="222"/>
    </row>
    <row r="935" spans="1:11" ht="12.75" customHeight="1" x14ac:dyDescent="0.25">
      <c r="A935" s="222"/>
      <c r="B935" s="222"/>
      <c r="C935" s="216"/>
      <c r="D935" s="216"/>
      <c r="E935" s="216"/>
      <c r="F935" s="216"/>
      <c r="G935" s="222"/>
      <c r="H935" s="216"/>
      <c r="I935" s="216"/>
      <c r="J935" s="216"/>
      <c r="K935" s="222"/>
    </row>
    <row r="936" spans="1:11" ht="12.75" customHeight="1" x14ac:dyDescent="0.25">
      <c r="A936" s="222"/>
      <c r="B936" s="222"/>
      <c r="C936" s="216"/>
      <c r="D936" s="216"/>
      <c r="E936" s="216"/>
      <c r="F936" s="216"/>
      <c r="G936" s="222"/>
      <c r="H936" s="216"/>
      <c r="I936" s="216"/>
      <c r="J936" s="216"/>
      <c r="K936" s="222"/>
    </row>
    <row r="937" spans="1:11" ht="12.75" customHeight="1" x14ac:dyDescent="0.25">
      <c r="A937" s="222"/>
      <c r="B937" s="222"/>
      <c r="C937" s="216"/>
      <c r="D937" s="216"/>
      <c r="E937" s="216"/>
      <c r="F937" s="216"/>
      <c r="G937" s="222"/>
      <c r="H937" s="216"/>
      <c r="I937" s="216"/>
      <c r="J937" s="216"/>
      <c r="K937" s="222"/>
    </row>
    <row r="938" spans="1:11" ht="12.75" customHeight="1" x14ac:dyDescent="0.25">
      <c r="A938" s="222"/>
      <c r="B938" s="222"/>
      <c r="C938" s="216"/>
      <c r="D938" s="216"/>
      <c r="E938" s="216"/>
      <c r="F938" s="216"/>
      <c r="G938" s="222"/>
      <c r="H938" s="216"/>
      <c r="I938" s="216"/>
      <c r="J938" s="216"/>
      <c r="K938" s="222"/>
    </row>
    <row r="939" spans="1:11" ht="12.75" customHeight="1" x14ac:dyDescent="0.25">
      <c r="A939" s="222"/>
      <c r="B939" s="222"/>
      <c r="C939" s="216"/>
      <c r="D939" s="216"/>
      <c r="E939" s="216"/>
      <c r="F939" s="216"/>
      <c r="G939" s="222"/>
      <c r="H939" s="216"/>
      <c r="I939" s="216"/>
      <c r="J939" s="216"/>
      <c r="K939" s="222"/>
    </row>
    <row r="940" spans="1:11" ht="12.75" customHeight="1" x14ac:dyDescent="0.25">
      <c r="A940" s="222"/>
      <c r="B940" s="222"/>
      <c r="C940" s="216"/>
      <c r="D940" s="216"/>
      <c r="E940" s="216"/>
      <c r="F940" s="216"/>
      <c r="G940" s="222"/>
      <c r="H940" s="216"/>
      <c r="I940" s="216"/>
      <c r="J940" s="216"/>
      <c r="K940" s="222"/>
    </row>
    <row r="941" spans="1:11" ht="12.75" customHeight="1" x14ac:dyDescent="0.25">
      <c r="A941" s="222"/>
      <c r="B941" s="222"/>
      <c r="C941" s="216"/>
      <c r="D941" s="216"/>
      <c r="E941" s="216"/>
      <c r="F941" s="216"/>
      <c r="G941" s="222"/>
      <c r="H941" s="216"/>
      <c r="I941" s="216"/>
      <c r="J941" s="216"/>
      <c r="K941" s="222"/>
    </row>
    <row r="942" spans="1:11" ht="12.75" customHeight="1" x14ac:dyDescent="0.25">
      <c r="A942" s="222"/>
      <c r="B942" s="222"/>
      <c r="C942" s="216"/>
      <c r="D942" s="216"/>
      <c r="E942" s="216"/>
      <c r="F942" s="216"/>
      <c r="G942" s="222"/>
      <c r="H942" s="216"/>
      <c r="I942" s="216"/>
      <c r="J942" s="216"/>
      <c r="K942" s="222"/>
    </row>
    <row r="943" spans="1:11" ht="12.75" customHeight="1" x14ac:dyDescent="0.25">
      <c r="A943" s="222"/>
      <c r="B943" s="222"/>
      <c r="C943" s="216"/>
      <c r="D943" s="216"/>
      <c r="E943" s="216"/>
      <c r="F943" s="216"/>
      <c r="G943" s="222"/>
      <c r="H943" s="216"/>
      <c r="I943" s="216"/>
      <c r="J943" s="216"/>
      <c r="K943" s="222"/>
    </row>
    <row r="944" spans="1:11" ht="12.75" customHeight="1" x14ac:dyDescent="0.25">
      <c r="A944" s="222"/>
      <c r="B944" s="222"/>
      <c r="C944" s="216"/>
      <c r="D944" s="216"/>
      <c r="E944" s="216"/>
      <c r="F944" s="216"/>
      <c r="G944" s="222"/>
      <c r="H944" s="216"/>
      <c r="I944" s="216"/>
      <c r="J944" s="216"/>
      <c r="K944" s="222"/>
    </row>
    <row r="945" spans="1:11" ht="12.75" customHeight="1" x14ac:dyDescent="0.25">
      <c r="A945" s="222"/>
      <c r="B945" s="222"/>
      <c r="C945" s="216"/>
      <c r="D945" s="216"/>
      <c r="E945" s="216"/>
      <c r="F945" s="216"/>
      <c r="G945" s="222"/>
      <c r="H945" s="216"/>
      <c r="I945" s="216"/>
      <c r="J945" s="216"/>
      <c r="K945" s="222"/>
    </row>
    <row r="946" spans="1:11" ht="12.75" customHeight="1" x14ac:dyDescent="0.25">
      <c r="A946" s="222"/>
      <c r="B946" s="222"/>
      <c r="C946" s="216"/>
      <c r="D946" s="216"/>
      <c r="E946" s="216"/>
      <c r="F946" s="216"/>
      <c r="G946" s="222"/>
      <c r="H946" s="216"/>
      <c r="I946" s="216"/>
      <c r="J946" s="216"/>
      <c r="K946" s="222"/>
    </row>
    <row r="947" spans="1:11" ht="12.75" customHeight="1" x14ac:dyDescent="0.25">
      <c r="A947" s="222"/>
      <c r="B947" s="222"/>
      <c r="C947" s="216"/>
      <c r="D947" s="216"/>
      <c r="E947" s="216"/>
      <c r="F947" s="216"/>
      <c r="G947" s="222"/>
      <c r="H947" s="216"/>
      <c r="I947" s="216"/>
      <c r="J947" s="216"/>
      <c r="K947" s="222"/>
    </row>
    <row r="948" spans="1:11" ht="12.75" customHeight="1" x14ac:dyDescent="0.25">
      <c r="A948" s="222"/>
      <c r="B948" s="222"/>
      <c r="C948" s="216"/>
      <c r="D948" s="216"/>
      <c r="E948" s="216"/>
      <c r="F948" s="216"/>
      <c r="G948" s="222"/>
      <c r="H948" s="216"/>
      <c r="I948" s="216"/>
      <c r="J948" s="216"/>
      <c r="K948" s="222"/>
    </row>
    <row r="949" spans="1:11" ht="12.75" customHeight="1" x14ac:dyDescent="0.25">
      <c r="A949" s="222"/>
      <c r="B949" s="222"/>
      <c r="C949" s="216"/>
      <c r="D949" s="216"/>
      <c r="E949" s="216"/>
      <c r="F949" s="216"/>
      <c r="G949" s="222"/>
      <c r="H949" s="216"/>
      <c r="I949" s="216"/>
      <c r="J949" s="216"/>
      <c r="K949" s="222"/>
    </row>
    <row r="950" spans="1:11" ht="12.75" customHeight="1" x14ac:dyDescent="0.25">
      <c r="A950" s="222"/>
      <c r="B950" s="222"/>
      <c r="C950" s="216"/>
      <c r="D950" s="216"/>
      <c r="E950" s="216"/>
      <c r="F950" s="216"/>
      <c r="G950" s="222"/>
      <c r="H950" s="216"/>
      <c r="I950" s="216"/>
      <c r="J950" s="216"/>
      <c r="K950" s="222"/>
    </row>
    <row r="951" spans="1:11" ht="12.75" customHeight="1" x14ac:dyDescent="0.25">
      <c r="A951" s="222"/>
      <c r="B951" s="222"/>
      <c r="C951" s="216"/>
      <c r="D951" s="216"/>
      <c r="E951" s="216"/>
      <c r="F951" s="216"/>
      <c r="G951" s="222"/>
      <c r="H951" s="216"/>
      <c r="I951" s="216"/>
      <c r="J951" s="216"/>
      <c r="K951" s="222"/>
    </row>
    <row r="952" spans="1:11" ht="12.75" customHeight="1" x14ac:dyDescent="0.25">
      <c r="A952" s="222"/>
      <c r="B952" s="222"/>
      <c r="C952" s="216"/>
      <c r="D952" s="216"/>
      <c r="E952" s="216"/>
      <c r="F952" s="216"/>
      <c r="G952" s="222"/>
      <c r="H952" s="216"/>
      <c r="I952" s="216"/>
      <c r="J952" s="216"/>
      <c r="K952" s="222"/>
    </row>
    <row r="953" spans="1:11" ht="12.75" customHeight="1" x14ac:dyDescent="0.25">
      <c r="A953" s="222"/>
      <c r="B953" s="222"/>
      <c r="C953" s="216"/>
      <c r="D953" s="216"/>
      <c r="E953" s="216"/>
      <c r="F953" s="216"/>
      <c r="G953" s="222"/>
      <c r="H953" s="216"/>
      <c r="I953" s="216"/>
      <c r="J953" s="216"/>
      <c r="K953" s="222"/>
    </row>
    <row r="954" spans="1:11" ht="12.75" customHeight="1" x14ac:dyDescent="0.25">
      <c r="A954" s="222"/>
      <c r="B954" s="222"/>
      <c r="C954" s="216"/>
      <c r="D954" s="216"/>
      <c r="E954" s="216"/>
      <c r="F954" s="216"/>
      <c r="G954" s="222"/>
      <c r="H954" s="216"/>
      <c r="I954" s="216"/>
      <c r="J954" s="216"/>
      <c r="K954" s="222"/>
    </row>
    <row r="955" spans="1:11" ht="12.75" customHeight="1" x14ac:dyDescent="0.25">
      <c r="A955" s="222"/>
      <c r="B955" s="222"/>
      <c r="C955" s="216"/>
      <c r="D955" s="216"/>
      <c r="E955" s="216"/>
      <c r="F955" s="216"/>
      <c r="G955" s="222"/>
      <c r="H955" s="216"/>
      <c r="I955" s="216"/>
      <c r="J955" s="216"/>
      <c r="K955" s="222"/>
    </row>
    <row r="956" spans="1:11" ht="12.75" customHeight="1" x14ac:dyDescent="0.25">
      <c r="A956" s="222"/>
      <c r="B956" s="222"/>
      <c r="C956" s="216"/>
      <c r="D956" s="216"/>
      <c r="E956" s="216"/>
      <c r="F956" s="216"/>
      <c r="G956" s="222"/>
      <c r="H956" s="216"/>
      <c r="I956" s="216"/>
      <c r="J956" s="216"/>
      <c r="K956" s="222"/>
    </row>
    <row r="957" spans="1:11" ht="12.75" customHeight="1" x14ac:dyDescent="0.25">
      <c r="A957" s="222"/>
      <c r="B957" s="222"/>
      <c r="C957" s="216"/>
      <c r="D957" s="216"/>
      <c r="E957" s="216"/>
      <c r="F957" s="216"/>
      <c r="G957" s="222"/>
      <c r="H957" s="216"/>
      <c r="I957" s="216"/>
      <c r="J957" s="216"/>
      <c r="K957" s="222"/>
    </row>
    <row r="958" spans="1:11" ht="12.75" customHeight="1" x14ac:dyDescent="0.25">
      <c r="A958" s="222"/>
      <c r="B958" s="222"/>
      <c r="C958" s="216"/>
      <c r="D958" s="216"/>
      <c r="E958" s="216"/>
      <c r="F958" s="216"/>
      <c r="G958" s="222"/>
      <c r="H958" s="216"/>
      <c r="I958" s="216"/>
      <c r="J958" s="216"/>
      <c r="K958" s="222"/>
    </row>
    <row r="959" spans="1:11" ht="12.75" customHeight="1" x14ac:dyDescent="0.25">
      <c r="A959" s="222"/>
      <c r="B959" s="222"/>
      <c r="C959" s="216"/>
      <c r="D959" s="216"/>
      <c r="E959" s="216"/>
      <c r="F959" s="216"/>
      <c r="G959" s="222"/>
      <c r="H959" s="216"/>
      <c r="I959" s="216"/>
      <c r="J959" s="216"/>
      <c r="K959" s="222"/>
    </row>
    <row r="960" spans="1:11" ht="12.75" customHeight="1" x14ac:dyDescent="0.25">
      <c r="A960" s="222"/>
      <c r="B960" s="222"/>
      <c r="C960" s="216"/>
      <c r="D960" s="216"/>
      <c r="E960" s="216"/>
      <c r="F960" s="216"/>
      <c r="G960" s="222"/>
      <c r="H960" s="216"/>
      <c r="I960" s="216"/>
      <c r="J960" s="216"/>
      <c r="K960" s="222"/>
    </row>
    <row r="961" spans="1:11" ht="12.75" customHeight="1" x14ac:dyDescent="0.25">
      <c r="A961" s="222"/>
      <c r="B961" s="222"/>
      <c r="C961" s="216"/>
      <c r="D961" s="216"/>
      <c r="E961" s="216"/>
      <c r="F961" s="216"/>
      <c r="G961" s="222"/>
      <c r="H961" s="216"/>
      <c r="I961" s="216"/>
      <c r="J961" s="216"/>
      <c r="K961" s="222"/>
    </row>
    <row r="962" spans="1:11" ht="12.75" customHeight="1" x14ac:dyDescent="0.25">
      <c r="A962" s="222"/>
      <c r="B962" s="222"/>
      <c r="C962" s="216"/>
      <c r="D962" s="216"/>
      <c r="E962" s="216"/>
      <c r="F962" s="216"/>
      <c r="G962" s="222"/>
      <c r="H962" s="216"/>
      <c r="I962" s="216"/>
      <c r="J962" s="216"/>
      <c r="K962" s="222"/>
    </row>
    <row r="963" spans="1:11" ht="12.75" customHeight="1" x14ac:dyDescent="0.25">
      <c r="A963" s="222"/>
      <c r="B963" s="222"/>
      <c r="C963" s="216"/>
      <c r="D963" s="216"/>
      <c r="E963" s="216"/>
      <c r="F963" s="216"/>
      <c r="G963" s="222"/>
      <c r="H963" s="216"/>
      <c r="I963" s="216"/>
      <c r="J963" s="216"/>
      <c r="K963" s="222"/>
    </row>
    <row r="964" spans="1:11" ht="12.75" customHeight="1" x14ac:dyDescent="0.25">
      <c r="A964" s="222"/>
      <c r="B964" s="222"/>
      <c r="C964" s="216"/>
      <c r="D964" s="216"/>
      <c r="E964" s="216"/>
      <c r="F964" s="216"/>
      <c r="G964" s="222"/>
      <c r="H964" s="216"/>
      <c r="I964" s="216"/>
      <c r="J964" s="216"/>
      <c r="K964" s="222"/>
    </row>
    <row r="965" spans="1:11" ht="12.75" customHeight="1" x14ac:dyDescent="0.25">
      <c r="A965" s="222"/>
      <c r="B965" s="222"/>
      <c r="C965" s="216"/>
      <c r="D965" s="216"/>
      <c r="E965" s="216"/>
      <c r="F965" s="216"/>
      <c r="G965" s="222"/>
      <c r="H965" s="216"/>
      <c r="I965" s="216"/>
      <c r="J965" s="216"/>
      <c r="K965" s="222"/>
    </row>
    <row r="966" spans="1:11" ht="12.75" customHeight="1" x14ac:dyDescent="0.25">
      <c r="A966" s="222"/>
      <c r="B966" s="222"/>
      <c r="C966" s="216"/>
      <c r="D966" s="216"/>
      <c r="E966" s="216"/>
      <c r="F966" s="216"/>
      <c r="G966" s="222"/>
      <c r="H966" s="216"/>
      <c r="I966" s="216"/>
      <c r="J966" s="216"/>
      <c r="K966" s="222"/>
    </row>
    <row r="967" spans="1:11" ht="12.75" customHeight="1" x14ac:dyDescent="0.25">
      <c r="A967" s="222"/>
      <c r="B967" s="222"/>
      <c r="C967" s="216"/>
      <c r="D967" s="216"/>
      <c r="E967" s="216"/>
      <c r="F967" s="216"/>
      <c r="G967" s="222"/>
      <c r="H967" s="216"/>
      <c r="I967" s="216"/>
      <c r="J967" s="216"/>
      <c r="K967" s="222"/>
    </row>
    <row r="968" spans="1:11" ht="12.75" customHeight="1" x14ac:dyDescent="0.25">
      <c r="A968" s="222"/>
      <c r="B968" s="222"/>
      <c r="C968" s="216"/>
      <c r="D968" s="216"/>
      <c r="E968" s="216"/>
      <c r="F968" s="216"/>
      <c r="G968" s="222"/>
      <c r="H968" s="216"/>
      <c r="I968" s="216"/>
      <c r="J968" s="216"/>
      <c r="K968" s="222"/>
    </row>
    <row r="969" spans="1:11" ht="12.75" customHeight="1" x14ac:dyDescent="0.25">
      <c r="A969" s="222"/>
      <c r="B969" s="222"/>
      <c r="C969" s="216"/>
      <c r="D969" s="216"/>
      <c r="E969" s="216"/>
      <c r="F969" s="216"/>
      <c r="G969" s="222"/>
      <c r="H969" s="216"/>
      <c r="I969" s="216"/>
      <c r="J969" s="216"/>
      <c r="K969" s="222"/>
    </row>
    <row r="970" spans="1:11" ht="12.75" customHeight="1" x14ac:dyDescent="0.25">
      <c r="A970" s="222"/>
      <c r="B970" s="222"/>
      <c r="C970" s="216"/>
      <c r="D970" s="216"/>
      <c r="E970" s="216"/>
      <c r="F970" s="216"/>
      <c r="G970" s="222"/>
      <c r="H970" s="216"/>
      <c r="I970" s="216"/>
      <c r="J970" s="216"/>
      <c r="K970" s="222"/>
    </row>
    <row r="971" spans="1:11" ht="12.75" customHeight="1" x14ac:dyDescent="0.25">
      <c r="A971" s="222"/>
      <c r="B971" s="222"/>
      <c r="C971" s="216"/>
      <c r="D971" s="216"/>
      <c r="E971" s="216"/>
      <c r="F971" s="216"/>
      <c r="G971" s="222"/>
      <c r="H971" s="216"/>
      <c r="I971" s="216"/>
      <c r="J971" s="216"/>
      <c r="K971" s="222"/>
    </row>
    <row r="972" spans="1:11" ht="12.75" customHeight="1" x14ac:dyDescent="0.25">
      <c r="A972" s="222"/>
      <c r="B972" s="222"/>
      <c r="C972" s="216"/>
      <c r="D972" s="216"/>
      <c r="E972" s="216"/>
      <c r="F972" s="216"/>
      <c r="G972" s="222"/>
      <c r="H972" s="216"/>
      <c r="I972" s="216"/>
      <c r="J972" s="216"/>
      <c r="K972" s="222"/>
    </row>
    <row r="973" spans="1:11" ht="12.75" customHeight="1" x14ac:dyDescent="0.25">
      <c r="A973" s="222"/>
      <c r="B973" s="222"/>
      <c r="C973" s="216"/>
      <c r="D973" s="216"/>
      <c r="E973" s="216"/>
      <c r="F973" s="216"/>
      <c r="G973" s="222"/>
      <c r="H973" s="216"/>
      <c r="I973" s="216"/>
      <c r="J973" s="216"/>
      <c r="K973" s="222"/>
    </row>
    <row r="974" spans="1:11" ht="12.75" customHeight="1" x14ac:dyDescent="0.25">
      <c r="A974" s="222"/>
      <c r="B974" s="222"/>
      <c r="C974" s="216"/>
      <c r="D974" s="216"/>
      <c r="E974" s="216"/>
      <c r="F974" s="216"/>
      <c r="G974" s="222"/>
      <c r="H974" s="216"/>
      <c r="I974" s="216"/>
      <c r="J974" s="216"/>
      <c r="K974" s="222"/>
    </row>
    <row r="975" spans="1:11" ht="12.75" customHeight="1" x14ac:dyDescent="0.25">
      <c r="A975" s="222"/>
      <c r="B975" s="222"/>
      <c r="C975" s="216"/>
      <c r="D975" s="216"/>
      <c r="E975" s="216"/>
      <c r="F975" s="216"/>
      <c r="G975" s="222"/>
      <c r="H975" s="216"/>
      <c r="I975" s="216"/>
      <c r="J975" s="216"/>
      <c r="K975" s="222"/>
    </row>
    <row r="976" spans="1:11" ht="12.75" customHeight="1" x14ac:dyDescent="0.25">
      <c r="A976" s="222"/>
      <c r="B976" s="222"/>
      <c r="C976" s="216"/>
      <c r="D976" s="216"/>
      <c r="E976" s="216"/>
      <c r="F976" s="216"/>
      <c r="G976" s="222"/>
      <c r="H976" s="216"/>
      <c r="I976" s="216"/>
      <c r="J976" s="216"/>
      <c r="K976" s="222"/>
    </row>
    <row r="977" spans="1:11" ht="12.75" customHeight="1" x14ac:dyDescent="0.25">
      <c r="A977" s="222"/>
      <c r="B977" s="222"/>
      <c r="C977" s="216"/>
      <c r="D977" s="216"/>
      <c r="E977" s="216"/>
      <c r="F977" s="216"/>
      <c r="G977" s="222"/>
      <c r="H977" s="216"/>
      <c r="I977" s="216"/>
      <c r="J977" s="216"/>
      <c r="K977" s="222"/>
    </row>
    <row r="978" spans="1:11" ht="12.75" customHeight="1" x14ac:dyDescent="0.25">
      <c r="A978" s="222"/>
      <c r="B978" s="222"/>
      <c r="C978" s="216"/>
      <c r="D978" s="216"/>
      <c r="E978" s="216"/>
      <c r="F978" s="216"/>
      <c r="G978" s="222"/>
      <c r="H978" s="216"/>
      <c r="I978" s="216"/>
      <c r="J978" s="216"/>
      <c r="K978" s="222"/>
    </row>
    <row r="979" spans="1:11" ht="12.75" customHeight="1" x14ac:dyDescent="0.25">
      <c r="A979" s="222"/>
      <c r="B979" s="222"/>
      <c r="C979" s="216"/>
      <c r="D979" s="216"/>
      <c r="E979" s="216"/>
      <c r="F979" s="216"/>
      <c r="G979" s="222"/>
      <c r="H979" s="216"/>
      <c r="I979" s="216"/>
      <c r="J979" s="216"/>
      <c r="K979" s="222"/>
    </row>
    <row r="980" spans="1:11" ht="12.75" customHeight="1" x14ac:dyDescent="0.25">
      <c r="A980" s="222"/>
      <c r="B980" s="222"/>
      <c r="C980" s="216"/>
      <c r="D980" s="216"/>
      <c r="E980" s="216"/>
      <c r="F980" s="216"/>
      <c r="G980" s="222"/>
      <c r="H980" s="216"/>
      <c r="I980" s="216"/>
      <c r="J980" s="216"/>
      <c r="K980" s="222"/>
    </row>
    <row r="981" spans="1:11" ht="12.75" customHeight="1" x14ac:dyDescent="0.25">
      <c r="A981" s="222"/>
      <c r="B981" s="222"/>
      <c r="C981" s="216"/>
      <c r="D981" s="216"/>
      <c r="E981" s="216"/>
      <c r="F981" s="216"/>
      <c r="G981" s="222"/>
      <c r="H981" s="216"/>
      <c r="I981" s="216"/>
      <c r="J981" s="216"/>
      <c r="K981" s="222"/>
    </row>
    <row r="982" spans="1:11" ht="12.75" customHeight="1" x14ac:dyDescent="0.25">
      <c r="A982" s="222"/>
      <c r="B982" s="222"/>
      <c r="C982" s="216"/>
      <c r="D982" s="216"/>
      <c r="E982" s="216"/>
      <c r="F982" s="216"/>
      <c r="G982" s="222"/>
      <c r="H982" s="216"/>
      <c r="I982" s="216"/>
      <c r="J982" s="216"/>
      <c r="K982" s="222"/>
    </row>
    <row r="983" spans="1:11" ht="12.75" customHeight="1" x14ac:dyDescent="0.25">
      <c r="A983" s="222"/>
      <c r="B983" s="222"/>
      <c r="C983" s="216"/>
      <c r="D983" s="216"/>
      <c r="E983" s="216"/>
      <c r="F983" s="216"/>
      <c r="G983" s="222"/>
      <c r="H983" s="216"/>
      <c r="I983" s="216"/>
      <c r="J983" s="216"/>
      <c r="K983" s="222"/>
    </row>
    <row r="984" spans="1:11" ht="12.75" customHeight="1" x14ac:dyDescent="0.25">
      <c r="A984" s="222"/>
      <c r="B984" s="222"/>
      <c r="C984" s="216"/>
      <c r="D984" s="216"/>
      <c r="E984" s="216"/>
      <c r="F984" s="216"/>
      <c r="G984" s="222"/>
      <c r="H984" s="216"/>
      <c r="I984" s="216"/>
      <c r="J984" s="216"/>
      <c r="K984" s="222"/>
    </row>
    <row r="985" spans="1:11" ht="12.75" customHeight="1" x14ac:dyDescent="0.25">
      <c r="A985" s="222"/>
      <c r="B985" s="222"/>
      <c r="C985" s="216"/>
      <c r="D985" s="216"/>
      <c r="E985" s="216"/>
      <c r="F985" s="216"/>
      <c r="G985" s="222"/>
      <c r="H985" s="216"/>
      <c r="I985" s="216"/>
      <c r="J985" s="216"/>
      <c r="K985" s="222"/>
    </row>
    <row r="986" spans="1:11" ht="12.75" customHeight="1" x14ac:dyDescent="0.25">
      <c r="A986" s="222"/>
      <c r="B986" s="222"/>
      <c r="C986" s="216"/>
      <c r="D986" s="216"/>
      <c r="E986" s="216"/>
      <c r="F986" s="216"/>
      <c r="G986" s="222"/>
      <c r="H986" s="216"/>
      <c r="I986" s="216"/>
      <c r="J986" s="216"/>
      <c r="K986" s="222"/>
    </row>
    <row r="987" spans="1:11" ht="12.75" customHeight="1" x14ac:dyDescent="0.25">
      <c r="A987" s="222"/>
      <c r="B987" s="222"/>
      <c r="C987" s="216"/>
      <c r="D987" s="216"/>
      <c r="E987" s="216"/>
      <c r="F987" s="216"/>
      <c r="G987" s="222"/>
      <c r="H987" s="216"/>
      <c r="I987" s="216"/>
      <c r="J987" s="216"/>
      <c r="K987" s="222"/>
    </row>
    <row r="988" spans="1:11" ht="12.75" customHeight="1" x14ac:dyDescent="0.25">
      <c r="A988" s="222"/>
      <c r="B988" s="222"/>
      <c r="C988" s="216"/>
      <c r="D988" s="216"/>
      <c r="E988" s="216"/>
      <c r="F988" s="216"/>
      <c r="G988" s="222"/>
      <c r="H988" s="216"/>
      <c r="I988" s="216"/>
      <c r="J988" s="216"/>
      <c r="K988" s="222"/>
    </row>
    <row r="989" spans="1:11" ht="12.75" customHeight="1" x14ac:dyDescent="0.25">
      <c r="A989" s="222"/>
      <c r="B989" s="222"/>
      <c r="C989" s="216"/>
      <c r="D989" s="216"/>
      <c r="E989" s="216"/>
      <c r="F989" s="216"/>
      <c r="G989" s="222"/>
      <c r="H989" s="216"/>
      <c r="I989" s="216"/>
      <c r="J989" s="216"/>
      <c r="K989" s="222"/>
    </row>
    <row r="990" spans="1:11" ht="12.75" customHeight="1" x14ac:dyDescent="0.25">
      <c r="A990" s="222"/>
      <c r="B990" s="222"/>
      <c r="C990" s="216"/>
      <c r="D990" s="216"/>
      <c r="E990" s="216"/>
      <c r="F990" s="216"/>
      <c r="G990" s="222"/>
      <c r="H990" s="216"/>
      <c r="I990" s="216"/>
      <c r="J990" s="216"/>
      <c r="K990" s="222"/>
    </row>
    <row r="991" spans="1:11" ht="12.75" customHeight="1" x14ac:dyDescent="0.25">
      <c r="A991" s="222"/>
      <c r="B991" s="222"/>
      <c r="C991" s="216"/>
      <c r="D991" s="216"/>
      <c r="E991" s="216"/>
      <c r="F991" s="216"/>
      <c r="G991" s="222"/>
      <c r="H991" s="216"/>
      <c r="I991" s="216"/>
      <c r="J991" s="216"/>
      <c r="K991" s="222"/>
    </row>
    <row r="992" spans="1:11" ht="12.75" customHeight="1" x14ac:dyDescent="0.25">
      <c r="A992" s="222"/>
      <c r="B992" s="222"/>
      <c r="C992" s="216"/>
      <c r="D992" s="216"/>
      <c r="E992" s="216"/>
      <c r="F992" s="216"/>
      <c r="G992" s="222"/>
      <c r="H992" s="216"/>
      <c r="I992" s="216"/>
      <c r="J992" s="216"/>
      <c r="K992" s="222"/>
    </row>
    <row r="993" spans="1:11" ht="12.75" customHeight="1" x14ac:dyDescent="0.25">
      <c r="A993" s="222"/>
      <c r="B993" s="222"/>
      <c r="C993" s="216"/>
      <c r="D993" s="216"/>
      <c r="E993" s="216"/>
      <c r="F993" s="216"/>
      <c r="G993" s="222"/>
      <c r="H993" s="216"/>
      <c r="I993" s="216"/>
      <c r="J993" s="216"/>
      <c r="K993" s="222"/>
    </row>
    <row r="994" spans="1:11" ht="12.75" customHeight="1" x14ac:dyDescent="0.25">
      <c r="A994" s="222"/>
      <c r="B994" s="222"/>
      <c r="C994" s="216"/>
      <c r="D994" s="216"/>
      <c r="E994" s="216"/>
      <c r="F994" s="216"/>
      <c r="G994" s="222"/>
      <c r="H994" s="216"/>
      <c r="I994" s="216"/>
      <c r="J994" s="216"/>
      <c r="K994" s="222"/>
    </row>
    <row r="995" spans="1:11" ht="12.75" customHeight="1" x14ac:dyDescent="0.25">
      <c r="A995" s="222"/>
      <c r="B995" s="222"/>
      <c r="C995" s="216"/>
      <c r="D995" s="216"/>
      <c r="E995" s="216"/>
      <c r="F995" s="216"/>
      <c r="G995" s="222"/>
      <c r="H995" s="216"/>
      <c r="I995" s="216"/>
      <c r="J995" s="216"/>
      <c r="K995" s="222"/>
    </row>
    <row r="996" spans="1:11" ht="12.75" customHeight="1" x14ac:dyDescent="0.25">
      <c r="A996" s="222"/>
      <c r="B996" s="222"/>
      <c r="C996" s="216"/>
      <c r="D996" s="216"/>
      <c r="E996" s="216"/>
      <c r="F996" s="216"/>
      <c r="G996" s="222"/>
      <c r="H996" s="216"/>
      <c r="I996" s="216"/>
      <c r="J996" s="216"/>
      <c r="K996" s="222"/>
    </row>
    <row r="997" spans="1:11" ht="12.75" customHeight="1" x14ac:dyDescent="0.25">
      <c r="A997" s="222"/>
      <c r="B997" s="222"/>
      <c r="C997" s="216"/>
      <c r="D997" s="216"/>
      <c r="E997" s="216"/>
      <c r="F997" s="216"/>
      <c r="G997" s="222"/>
      <c r="H997" s="216"/>
      <c r="I997" s="216"/>
      <c r="J997" s="216"/>
      <c r="K997" s="222"/>
    </row>
    <row r="998" spans="1:11" ht="12.75" customHeight="1" x14ac:dyDescent="0.25">
      <c r="A998" s="222"/>
      <c r="B998" s="222"/>
      <c r="C998" s="216"/>
      <c r="D998" s="216"/>
      <c r="E998" s="216"/>
      <c r="F998" s="216"/>
      <c r="G998" s="222"/>
      <c r="H998" s="216"/>
      <c r="I998" s="216"/>
      <c r="J998" s="216"/>
      <c r="K998" s="222"/>
    </row>
    <row r="999" spans="1:11" ht="12.75" customHeight="1" x14ac:dyDescent="0.25">
      <c r="A999" s="222"/>
      <c r="B999" s="222"/>
      <c r="C999" s="216"/>
      <c r="D999" s="216"/>
      <c r="E999" s="216"/>
      <c r="F999" s="216"/>
      <c r="G999" s="222"/>
      <c r="H999" s="216"/>
      <c r="I999" s="216"/>
      <c r="J999" s="216"/>
      <c r="K999" s="222"/>
    </row>
    <row r="1000" spans="1:11" ht="12.75" customHeight="1" x14ac:dyDescent="0.25">
      <c r="A1000" s="222"/>
      <c r="B1000" s="222"/>
      <c r="C1000" s="216"/>
      <c r="D1000" s="216"/>
      <c r="E1000" s="216"/>
      <c r="F1000" s="216"/>
      <c r="G1000" s="222"/>
      <c r="H1000" s="216"/>
      <c r="I1000" s="216"/>
      <c r="J1000" s="216"/>
      <c r="K1000" s="222"/>
    </row>
  </sheetData>
  <customSheetViews>
    <customSheetView guid="{106B7A88-9D1E-4D22-9DE1-7E44A908E830}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1"/>
    </customSheetView>
    <customSheetView guid="{CF50DB9B-0F8D-41A5-9576-F9345942CE97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B8CD8764-8103-4BA7-A294-F5FED5EA74ED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845F3A43-EF96-4057-9777-D2F2301CC149}" showPageBreaks="1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1000"/>
  <sheetViews>
    <sheetView showGridLines="0" workbookViewId="0"/>
  </sheetViews>
  <sheetFormatPr baseColWidth="10" defaultColWidth="17.26953125" defaultRowHeight="15" customHeight="1" x14ac:dyDescent="0.25"/>
  <cols>
    <col min="1" max="26" width="10" customWidth="1"/>
  </cols>
  <sheetData>
    <row r="1" spans="2:5" ht="12.75" customHeight="1" x14ac:dyDescent="0.25">
      <c r="B1" s="216"/>
      <c r="C1" s="216"/>
      <c r="D1" s="216"/>
      <c r="E1" s="216"/>
    </row>
    <row r="2" spans="2:5" ht="12.75" customHeight="1" x14ac:dyDescent="0.25">
      <c r="B2" s="216"/>
      <c r="C2" s="216"/>
      <c r="D2" s="216"/>
      <c r="E2" s="216"/>
    </row>
    <row r="3" spans="2:5" ht="12.75" customHeight="1" x14ac:dyDescent="0.25">
      <c r="B3" s="216"/>
      <c r="C3" s="216"/>
      <c r="D3" s="216"/>
      <c r="E3" s="216"/>
    </row>
    <row r="4" spans="2:5" ht="12.75" customHeight="1" x14ac:dyDescent="0.25">
      <c r="B4" s="216"/>
      <c r="C4" s="216"/>
      <c r="D4" s="216"/>
      <c r="E4" s="216"/>
    </row>
    <row r="5" spans="2:5" ht="12.75" customHeight="1" x14ac:dyDescent="0.25">
      <c r="B5" s="216"/>
      <c r="C5" s="216"/>
      <c r="D5" s="216"/>
      <c r="E5" s="216"/>
    </row>
    <row r="6" spans="2:5" ht="12.75" customHeight="1" x14ac:dyDescent="0.25">
      <c r="B6" s="216"/>
      <c r="C6" s="216"/>
      <c r="D6" s="216"/>
      <c r="E6" s="216"/>
    </row>
    <row r="7" spans="2:5" ht="12.75" customHeight="1" x14ac:dyDescent="0.25">
      <c r="B7" s="216"/>
      <c r="C7" s="216"/>
      <c r="D7" s="216"/>
      <c r="E7" s="216"/>
    </row>
    <row r="8" spans="2:5" ht="12.75" customHeight="1" x14ac:dyDescent="0.25">
      <c r="B8" s="216"/>
      <c r="C8" s="216"/>
      <c r="D8" s="216"/>
      <c r="E8" s="216"/>
    </row>
    <row r="9" spans="2:5" ht="12.75" customHeight="1" x14ac:dyDescent="0.25">
      <c r="B9" s="216"/>
      <c r="C9" s="216"/>
      <c r="D9" s="216"/>
      <c r="E9" s="216"/>
    </row>
    <row r="10" spans="2:5" ht="12.75" customHeight="1" x14ac:dyDescent="0.25">
      <c r="B10" s="216"/>
      <c r="C10" s="216"/>
      <c r="D10" s="216"/>
      <c r="E10" s="216"/>
    </row>
    <row r="11" spans="2:5" ht="12.75" customHeight="1" x14ac:dyDescent="0.25">
      <c r="B11" s="216"/>
      <c r="C11" s="216"/>
      <c r="D11" s="216"/>
      <c r="E11" s="216"/>
    </row>
    <row r="12" spans="2:5" ht="12.75" customHeight="1" x14ac:dyDescent="0.25">
      <c r="B12" s="216"/>
      <c r="C12" s="216"/>
      <c r="D12" s="216"/>
      <c r="E12" s="216"/>
    </row>
    <row r="13" spans="2:5" ht="12.75" customHeight="1" x14ac:dyDescent="0.25">
      <c r="B13" s="216"/>
      <c r="C13" s="216"/>
      <c r="D13" s="216"/>
      <c r="E13" s="216"/>
    </row>
    <row r="14" spans="2:5" ht="12.75" customHeight="1" x14ac:dyDescent="0.25">
      <c r="B14" s="216"/>
      <c r="C14" s="216"/>
      <c r="D14" s="216"/>
      <c r="E14" s="216"/>
    </row>
    <row r="15" spans="2:5" ht="12.75" customHeight="1" x14ac:dyDescent="0.25">
      <c r="B15" s="216"/>
      <c r="C15" s="216"/>
      <c r="D15" s="216"/>
      <c r="E15" s="216"/>
    </row>
    <row r="16" spans="2:5" ht="12.75" customHeight="1" x14ac:dyDescent="0.25">
      <c r="B16" s="222"/>
      <c r="C16" s="216"/>
      <c r="D16" s="216"/>
      <c r="E16" s="222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106B7A88-9D1E-4D22-9DE1-7E44A908E830}" showGridLines="0" state="hidden">
      <pageMargins left="0.7" right="0.7" top="0.75" bottom="0.75" header="0.3" footer="0.3"/>
      <pageSetup paperSize="9" orientation="portrait" r:id="rId1"/>
    </customSheetView>
    <customSheetView guid="{CF50DB9B-0F8D-41A5-9576-F9345942CE97}" showGridLines="0" state="hidden">
      <pageMargins left="0.7" right="0.7" top="0.75" bottom="0.75" header="0.3" footer="0.3"/>
    </customSheetView>
    <customSheetView guid="{B8CD8764-8103-4BA7-A294-F5FED5EA74ED}" showGridLines="0" state="hidden">
      <pageMargins left="0.7" right="0.7" top="0.75" bottom="0.75" header="0.3" footer="0.3"/>
    </customSheetView>
    <customSheetView guid="{845F3A43-EF96-4057-9777-D2F2301CC149}" showPageBreaks="1" showGridLines="0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D1000"/>
  <sheetViews>
    <sheetView workbookViewId="0">
      <selection activeCell="D5" sqref="D5"/>
    </sheetView>
  </sheetViews>
  <sheetFormatPr baseColWidth="10" defaultColWidth="17.26953125" defaultRowHeight="15" customHeight="1" x14ac:dyDescent="0.25"/>
  <cols>
    <col min="1" max="1" width="10" customWidth="1"/>
    <col min="2" max="2" width="61.26953125" customWidth="1"/>
    <col min="3" max="3" width="29.7265625" bestFit="1" customWidth="1"/>
    <col min="4" max="4" width="14.7265625" bestFit="1" customWidth="1"/>
    <col min="5" max="26" width="10" customWidth="1"/>
  </cols>
  <sheetData>
    <row r="1" spans="2:4" ht="12.75" customHeight="1" x14ac:dyDescent="0.25">
      <c r="B1" s="216"/>
      <c r="C1" s="216"/>
      <c r="D1" s="216"/>
    </row>
    <row r="2" spans="2:4" ht="12.75" customHeight="1" x14ac:dyDescent="0.3">
      <c r="B2" s="174" t="s">
        <v>459</v>
      </c>
      <c r="C2" s="174" t="s">
        <v>460</v>
      </c>
      <c r="D2" s="176">
        <v>42806</v>
      </c>
    </row>
    <row r="3" spans="2:4" ht="12.5" x14ac:dyDescent="0.25">
      <c r="B3" s="173" t="s">
        <v>497</v>
      </c>
      <c r="C3" s="216" t="s">
        <v>498</v>
      </c>
      <c r="D3" s="216"/>
    </row>
    <row r="4" spans="2:4" ht="12.5" x14ac:dyDescent="0.25">
      <c r="B4" s="175" t="s">
        <v>499</v>
      </c>
      <c r="C4" s="216"/>
      <c r="D4" s="177" t="s">
        <v>500</v>
      </c>
    </row>
    <row r="5" spans="2:4" ht="25" x14ac:dyDescent="0.25">
      <c r="B5" s="173" t="s">
        <v>501</v>
      </c>
      <c r="C5" s="216"/>
      <c r="D5" s="216"/>
    </row>
    <row r="6" spans="2:4" ht="12.5" x14ac:dyDescent="0.25">
      <c r="B6" s="173" t="s">
        <v>502</v>
      </c>
      <c r="C6" s="216" t="s">
        <v>503</v>
      </c>
      <c r="D6" s="216"/>
    </row>
    <row r="7" spans="2:4" ht="12.5" x14ac:dyDescent="0.25">
      <c r="B7" s="173" t="s">
        <v>504</v>
      </c>
      <c r="C7" s="216" t="s">
        <v>505</v>
      </c>
      <c r="D7" s="216"/>
    </row>
    <row r="8" spans="2:4" ht="12.5" x14ac:dyDescent="0.25">
      <c r="B8" s="173" t="s">
        <v>506</v>
      </c>
      <c r="C8" s="216"/>
      <c r="D8" s="216"/>
    </row>
    <row r="9" spans="2:4" ht="12.75" customHeight="1" x14ac:dyDescent="0.25">
      <c r="B9" s="173" t="s">
        <v>507</v>
      </c>
      <c r="C9" s="216"/>
      <c r="D9" s="216"/>
    </row>
    <row r="10" spans="2:4" ht="12.75" customHeight="1" x14ac:dyDescent="0.25">
      <c r="B10" s="216"/>
      <c r="C10" s="216"/>
      <c r="D10" s="216"/>
    </row>
    <row r="11" spans="2:4" ht="12.75" customHeight="1" x14ac:dyDescent="0.25">
      <c r="B11" s="216"/>
      <c r="C11" s="216"/>
      <c r="D11" s="216"/>
    </row>
    <row r="12" spans="2:4" ht="12.75" customHeight="1" x14ac:dyDescent="0.25">
      <c r="B12" s="216"/>
      <c r="C12" s="216"/>
      <c r="D12" s="216"/>
    </row>
    <row r="13" spans="2:4" ht="12.75" customHeight="1" x14ac:dyDescent="0.25">
      <c r="B13" s="216"/>
      <c r="C13" s="216"/>
      <c r="D13" s="216"/>
    </row>
    <row r="14" spans="2:4" ht="12.75" customHeight="1" x14ac:dyDescent="0.25">
      <c r="B14" s="216"/>
      <c r="C14" s="216"/>
      <c r="D14" s="216"/>
    </row>
    <row r="15" spans="2:4" ht="12.75" customHeight="1" x14ac:dyDescent="0.25">
      <c r="B15" s="216"/>
      <c r="C15" s="216"/>
      <c r="D15" s="216"/>
    </row>
    <row r="16" spans="2:4" ht="12.75" customHeight="1" x14ac:dyDescent="0.25">
      <c r="B16" s="216"/>
      <c r="C16" s="216"/>
      <c r="D16" s="216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106B7A88-9D1E-4D22-9DE1-7E44A908E830}" state="hidden">
      <selection activeCell="D5" sqref="D5"/>
      <pageMargins left="0.7" right="0.7" top="0.75" bottom="0.75" header="0.3" footer="0.3"/>
      <pageSetup paperSize="9" orientation="portrait" r:id="rId1"/>
    </customSheetView>
    <customSheetView guid="{CF50DB9B-0F8D-41A5-9576-F9345942CE97}" state="hidden">
      <selection activeCell="D5" sqref="D5"/>
      <pageMargins left="0.7" right="0.7" top="0.75" bottom="0.75" header="0.3" footer="0.3"/>
      <pageSetup paperSize="9" orientation="portrait" r:id="rId2"/>
    </customSheetView>
    <customSheetView guid="{B8CD8764-8103-4BA7-A294-F5FED5EA74ED}" state="hidden">
      <selection activeCell="D5" sqref="D5"/>
      <pageMargins left="0.7" right="0.7" top="0.75" bottom="0.75" header="0.3" footer="0.3"/>
      <pageSetup paperSize="9" orientation="portrait" r:id="rId3"/>
    </customSheetView>
    <customSheetView guid="{845F3A43-EF96-4057-9777-D2F2301CC149}" showPageBreaks="1" state="hidden">
      <selection activeCell="D5" sqref="D5"/>
      <pageMargins left="0.7" right="0.7" top="0.75" bottom="0.75" header="0.3" footer="0.3"/>
      <pageSetup paperSize="9" orientation="portrait" r:id="rId4"/>
    </customSheetView>
  </customSheetView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9"/>
  <sheetViews>
    <sheetView showGridLines="0" tabSelected="1" zoomScale="110" zoomScaleNormal="110" workbookViewId="0">
      <pane xSplit="2" ySplit="1" topLeftCell="C122" activePane="bottomRight" state="frozen"/>
      <selection pane="topRight" activeCell="C1" sqref="C1"/>
      <selection pane="bottomLeft" activeCell="A2" sqref="A2"/>
      <selection pane="bottomRight" activeCell="P30" sqref="P30"/>
    </sheetView>
  </sheetViews>
  <sheetFormatPr baseColWidth="10" defaultColWidth="17.26953125" defaultRowHeight="15" customHeight="1" x14ac:dyDescent="0.25"/>
  <cols>
    <col min="1" max="1" width="6.453125" customWidth="1"/>
    <col min="2" max="2" width="42" bestFit="1" customWidth="1"/>
    <col min="3" max="3" width="14" customWidth="1"/>
    <col min="4" max="4" width="13.54296875" hidden="1" customWidth="1"/>
    <col min="5" max="5" width="22.54296875" hidden="1" customWidth="1"/>
    <col min="6" max="6" width="15.7265625" customWidth="1"/>
    <col min="7" max="7" width="9.453125" hidden="1" customWidth="1"/>
    <col min="8" max="8" width="11.81640625" customWidth="1"/>
    <col min="9" max="9" width="9.453125" hidden="1" customWidth="1"/>
    <col min="10" max="10" width="9.7265625" bestFit="1" customWidth="1"/>
    <col min="11" max="11" width="9.453125" hidden="1" customWidth="1"/>
    <col min="12" max="12" width="9" bestFit="1" customWidth="1"/>
    <col min="13" max="13" width="18.26953125" hidden="1" customWidth="1"/>
    <col min="14" max="23" width="12.54296875" customWidth="1"/>
    <col min="24" max="26" width="10" customWidth="1"/>
  </cols>
  <sheetData>
    <row r="1" spans="1:26" ht="14.5" x14ac:dyDescent="0.35">
      <c r="A1" s="2" t="s">
        <v>82</v>
      </c>
      <c r="B1" s="3" t="s">
        <v>83</v>
      </c>
      <c r="C1" s="449" t="s">
        <v>84</v>
      </c>
      <c r="D1" s="448"/>
      <c r="E1" s="449"/>
      <c r="F1" s="667" t="s">
        <v>85</v>
      </c>
      <c r="G1" s="668"/>
      <c r="H1" s="667" t="s">
        <v>86</v>
      </c>
      <c r="I1" s="668"/>
      <c r="J1" s="667" t="s">
        <v>87</v>
      </c>
      <c r="K1" s="668"/>
      <c r="L1" s="667" t="s">
        <v>88</v>
      </c>
      <c r="M1" s="664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42.75" customHeight="1" x14ac:dyDescent="0.35">
      <c r="A2" s="7"/>
      <c r="B2" s="7"/>
      <c r="C2" s="8" t="s">
        <v>755</v>
      </c>
      <c r="D2" s="346" t="s">
        <v>567</v>
      </c>
      <c r="E2" s="9" t="s">
        <v>679</v>
      </c>
      <c r="F2" s="10" t="s">
        <v>89</v>
      </c>
      <c r="G2" s="11" t="s">
        <v>90</v>
      </c>
      <c r="H2" s="10" t="s">
        <v>89</v>
      </c>
      <c r="I2" s="11" t="s">
        <v>90</v>
      </c>
      <c r="J2" s="10" t="s">
        <v>89</v>
      </c>
      <c r="K2" s="11" t="s">
        <v>90</v>
      </c>
      <c r="L2" s="10" t="s">
        <v>89</v>
      </c>
      <c r="M2" s="11" t="s">
        <v>90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5" x14ac:dyDescent="0.35">
      <c r="A3" s="2"/>
      <c r="B3" s="12" t="s">
        <v>91</v>
      </c>
      <c r="C3" s="13"/>
      <c r="D3" s="18">
        <f>C3-E3</f>
        <v>0</v>
      </c>
      <c r="E3" s="13"/>
      <c r="F3" s="19"/>
      <c r="G3" s="20"/>
      <c r="H3" s="19"/>
      <c r="I3" s="20"/>
      <c r="J3" s="19"/>
      <c r="K3" s="20"/>
      <c r="L3" s="19"/>
      <c r="M3" s="55"/>
      <c r="N3" s="28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5" x14ac:dyDescent="0.35">
      <c r="A4" s="22">
        <v>3050</v>
      </c>
      <c r="B4" s="23" t="s">
        <v>0</v>
      </c>
      <c r="C4" s="24">
        <f t="shared" ref="C4:C6" si="0">F4+H4+J4+L4</f>
        <v>348200</v>
      </c>
      <c r="D4" s="18">
        <f>C4-E4</f>
        <v>-46000</v>
      </c>
      <c r="E4" s="33">
        <v>394200</v>
      </c>
      <c r="F4" s="33">
        <f>Sentralt!B7</f>
        <v>140000</v>
      </c>
      <c r="G4" s="26"/>
      <c r="H4" s="463">
        <f>-(Program!H6)</f>
        <v>208200</v>
      </c>
      <c r="I4" s="26"/>
      <c r="J4" s="24"/>
      <c r="K4" s="26"/>
      <c r="L4" s="24"/>
      <c r="M4" s="55"/>
      <c r="N4" s="28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5" x14ac:dyDescent="0.35">
      <c r="A5" s="453">
        <v>3110</v>
      </c>
      <c r="B5" s="453" t="s">
        <v>728</v>
      </c>
      <c r="C5" s="24">
        <f t="shared" si="0"/>
        <v>76990.035000000003</v>
      </c>
      <c r="D5" s="18">
        <f>C5-E5</f>
        <v>-82639.165000000008</v>
      </c>
      <c r="E5" s="33">
        <v>159629.20000000001</v>
      </c>
      <c r="F5" s="33">
        <f>Sentralt!B6+Sentralt!B11+Sentralt!B17+Sentralt!B16</f>
        <v>76990.035000000003</v>
      </c>
      <c r="G5" s="26"/>
      <c r="H5" s="33"/>
      <c r="I5" s="26"/>
      <c r="J5" s="24"/>
      <c r="K5" s="26"/>
      <c r="L5" s="24"/>
      <c r="M5" s="55"/>
      <c r="N5" s="28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294" customFormat="1" ht="14.5" x14ac:dyDescent="0.35">
      <c r="A6" s="452">
        <v>3115</v>
      </c>
      <c r="B6" s="453" t="s">
        <v>138</v>
      </c>
      <c r="C6" s="33">
        <f t="shared" si="0"/>
        <v>358627.5</v>
      </c>
      <c r="D6" s="18">
        <f>C6-E6</f>
        <v>9487.5</v>
      </c>
      <c r="E6" s="33">
        <v>349140</v>
      </c>
      <c r="F6" s="33">
        <f>Sentralt!B5</f>
        <v>358627.5</v>
      </c>
      <c r="G6" s="26"/>
      <c r="H6" s="33"/>
      <c r="I6" s="26"/>
      <c r="J6" s="24"/>
      <c r="K6" s="26"/>
      <c r="L6" s="24"/>
      <c r="M6" s="55"/>
      <c r="N6" s="28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s="295" customFormat="1" ht="14.5" x14ac:dyDescent="0.35">
      <c r="A7" s="297"/>
      <c r="B7" s="298"/>
      <c r="C7" s="299"/>
      <c r="D7" s="300"/>
      <c r="E7" s="33"/>
      <c r="F7" s="33"/>
      <c r="G7" s="26"/>
      <c r="H7" s="33"/>
      <c r="I7" s="26"/>
      <c r="J7" s="24"/>
      <c r="K7" s="26"/>
      <c r="L7" s="24"/>
      <c r="M7" s="55"/>
      <c r="N7" s="2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s="295" customFormat="1" ht="14.5" x14ac:dyDescent="0.35">
      <c r="A8" s="297"/>
      <c r="B8" s="298"/>
      <c r="C8" s="299"/>
      <c r="D8" s="300"/>
      <c r="E8" s="299"/>
      <c r="F8" s="33"/>
      <c r="G8" s="26"/>
      <c r="H8" s="33"/>
      <c r="I8" s="26"/>
      <c r="J8" s="24"/>
      <c r="K8" s="26"/>
      <c r="L8" s="24"/>
      <c r="M8" s="55"/>
      <c r="N8" s="28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5" x14ac:dyDescent="0.35">
      <c r="A9" s="22"/>
      <c r="B9" s="34" t="s">
        <v>2</v>
      </c>
      <c r="C9" s="644">
        <f t="shared" ref="C9:L9" si="1">SUM(C4:C6)</f>
        <v>783817.53500000003</v>
      </c>
      <c r="D9" s="35">
        <f t="shared" si="1"/>
        <v>-119151.66500000001</v>
      </c>
      <c r="E9" s="35">
        <f t="shared" si="1"/>
        <v>902969.2</v>
      </c>
      <c r="F9" s="35">
        <f t="shared" si="1"/>
        <v>575617.53500000003</v>
      </c>
      <c r="G9" s="35">
        <f t="shared" si="1"/>
        <v>0</v>
      </c>
      <c r="H9" s="35">
        <f t="shared" si="1"/>
        <v>208200</v>
      </c>
      <c r="I9" s="35">
        <f t="shared" si="1"/>
        <v>0</v>
      </c>
      <c r="J9" s="35">
        <f t="shared" si="1"/>
        <v>0</v>
      </c>
      <c r="K9" s="35">
        <f t="shared" si="1"/>
        <v>0</v>
      </c>
      <c r="L9" s="35">
        <f t="shared" si="1"/>
        <v>0</v>
      </c>
      <c r="M9" s="55"/>
      <c r="N9" s="28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5" x14ac:dyDescent="0.35">
      <c r="A10" s="22">
        <v>3900</v>
      </c>
      <c r="B10" s="23" t="s">
        <v>3</v>
      </c>
      <c r="C10" s="24">
        <f t="shared" ref="C10:C19" si="2">F10+H10+J10+L10</f>
        <v>400240</v>
      </c>
      <c r="D10" s="18">
        <f t="shared" ref="D10:D18" si="3">C10-E10</f>
        <v>-51570</v>
      </c>
      <c r="E10" s="463">
        <v>451810</v>
      </c>
      <c r="F10" s="463">
        <f>Sentralt!B9+Sentralt!B10+Sentralt!B14</f>
        <v>340240</v>
      </c>
      <c r="G10" s="26"/>
      <c r="H10" s="463">
        <f>-Program!H10</f>
        <v>60000</v>
      </c>
      <c r="I10" s="26"/>
      <c r="J10" s="463"/>
      <c r="K10" s="463"/>
      <c r="L10" s="463"/>
      <c r="M10" s="55"/>
      <c r="N10" s="28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5" x14ac:dyDescent="0.35">
      <c r="A11" s="22">
        <v>3901</v>
      </c>
      <c r="B11" s="23" t="s">
        <v>92</v>
      </c>
      <c r="C11" s="24">
        <f t="shared" si="2"/>
        <v>515000</v>
      </c>
      <c r="D11" s="18">
        <f t="shared" si="3"/>
        <v>25000</v>
      </c>
      <c r="E11" s="463">
        <v>490000</v>
      </c>
      <c r="F11" s="24">
        <f>Sentralt!B15</f>
        <v>515000</v>
      </c>
      <c r="G11" s="26"/>
      <c r="H11" s="463"/>
      <c r="I11" s="26"/>
      <c r="J11" s="24"/>
      <c r="K11" s="26"/>
      <c r="L11" s="24"/>
      <c r="M11" s="55"/>
      <c r="N11" s="28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s="218" customFormat="1" ht="14.5" x14ac:dyDescent="0.35">
      <c r="A12" s="22">
        <v>3902</v>
      </c>
      <c r="B12" s="23" t="s">
        <v>5</v>
      </c>
      <c r="C12" s="24">
        <f t="shared" si="2"/>
        <v>639391.37931034481</v>
      </c>
      <c r="D12" s="18">
        <f t="shared" si="3"/>
        <v>-115816.20689655177</v>
      </c>
      <c r="E12" s="463">
        <v>755207.58620689658</v>
      </c>
      <c r="F12" s="24"/>
      <c r="G12" s="26"/>
      <c r="H12" s="463">
        <f>-(Program!H5+Program!H7+Program!H8+Program!H11)</f>
        <v>639391.37931034481</v>
      </c>
      <c r="I12" s="26"/>
      <c r="J12" s="24"/>
      <c r="K12" s="26"/>
      <c r="L12" s="24"/>
      <c r="M12" s="55"/>
      <c r="N12" s="28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5" x14ac:dyDescent="0.35">
      <c r="A13" s="22">
        <v>3910</v>
      </c>
      <c r="B13" s="39" t="s">
        <v>576</v>
      </c>
      <c r="C13" s="24">
        <f t="shared" si="2"/>
        <v>1321000</v>
      </c>
      <c r="D13" s="18">
        <f t="shared" si="3"/>
        <v>153894</v>
      </c>
      <c r="E13" s="463">
        <v>1167106</v>
      </c>
      <c r="F13" s="24">
        <f>Sentralt!B3</f>
        <v>1321000</v>
      </c>
      <c r="G13" s="26">
        <f>Sentralt!C3+Sentralt!C4</f>
        <v>0</v>
      </c>
      <c r="H13" s="463"/>
      <c r="I13" s="26"/>
      <c r="J13" s="24"/>
      <c r="K13" s="26"/>
      <c r="L13" s="24"/>
      <c r="M13" s="55"/>
      <c r="N13" s="28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5" x14ac:dyDescent="0.35">
      <c r="A14" s="22">
        <v>3915</v>
      </c>
      <c r="B14" s="41" t="s">
        <v>577</v>
      </c>
      <c r="C14" s="24">
        <f t="shared" si="2"/>
        <v>800000</v>
      </c>
      <c r="D14" s="18">
        <f t="shared" si="3"/>
        <v>50000</v>
      </c>
      <c r="E14" s="463">
        <v>750000</v>
      </c>
      <c r="F14" s="24">
        <f>Sentralt!B4</f>
        <v>520000</v>
      </c>
      <c r="G14" s="26"/>
      <c r="H14" s="463">
        <f>-Program!H14</f>
        <v>280000</v>
      </c>
      <c r="I14" s="26"/>
      <c r="J14" s="24"/>
      <c r="K14" s="26"/>
      <c r="L14" s="24"/>
      <c r="M14" s="55"/>
      <c r="N14" s="28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5" x14ac:dyDescent="0.35">
      <c r="A15" s="22">
        <v>3922</v>
      </c>
      <c r="B15" s="41" t="s">
        <v>524</v>
      </c>
      <c r="C15" s="24">
        <f t="shared" si="2"/>
        <v>1845185.6662499998</v>
      </c>
      <c r="D15" s="18">
        <f t="shared" si="3"/>
        <v>191723.83204999962</v>
      </c>
      <c r="E15" s="463">
        <v>1653461.8342000002</v>
      </c>
      <c r="F15" s="24"/>
      <c r="G15" s="26"/>
      <c r="H15" s="463">
        <f>-(Program!H12+Program!H15+Program!H16)</f>
        <v>1845185.6662499998</v>
      </c>
      <c r="I15" s="26"/>
      <c r="J15" s="24"/>
      <c r="K15" s="26"/>
      <c r="L15" s="24"/>
      <c r="M15" s="55"/>
      <c r="N15" s="28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5" x14ac:dyDescent="0.35">
      <c r="A16" s="22">
        <v>3927</v>
      </c>
      <c r="B16" s="23" t="s">
        <v>7</v>
      </c>
      <c r="C16" s="24">
        <f t="shared" si="2"/>
        <v>480000</v>
      </c>
      <c r="D16" s="18">
        <f t="shared" si="3"/>
        <v>10000</v>
      </c>
      <c r="E16" s="463">
        <v>470000</v>
      </c>
      <c r="F16" s="24">
        <f>Sentralt!B8</f>
        <v>480000</v>
      </c>
      <c r="G16" s="26"/>
      <c r="H16" s="463"/>
      <c r="I16" s="26"/>
      <c r="J16" s="24"/>
      <c r="K16" s="26"/>
      <c r="L16" s="24"/>
      <c r="M16" s="55"/>
      <c r="N16" s="28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5" x14ac:dyDescent="0.35">
      <c r="A17" s="22">
        <v>3930</v>
      </c>
      <c r="B17" s="23" t="s">
        <v>93</v>
      </c>
      <c r="C17" s="24">
        <f t="shared" si="2"/>
        <v>150000</v>
      </c>
      <c r="D17" s="18">
        <f t="shared" si="3"/>
        <v>0</v>
      </c>
      <c r="E17" s="463">
        <v>150000</v>
      </c>
      <c r="F17" s="24">
        <f>Sentralt!B13</f>
        <v>10000</v>
      </c>
      <c r="G17" s="26"/>
      <c r="H17" s="24"/>
      <c r="I17" s="26"/>
      <c r="J17" s="24"/>
      <c r="K17" s="26"/>
      <c r="L17" s="463">
        <f>Prosjekter!E6-F17</f>
        <v>140000</v>
      </c>
      <c r="M17" s="55"/>
      <c r="N17" s="28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5" x14ac:dyDescent="0.35">
      <c r="A18" s="22">
        <v>3950</v>
      </c>
      <c r="B18" s="39" t="s">
        <v>9</v>
      </c>
      <c r="C18" s="24">
        <f t="shared" si="2"/>
        <v>150000</v>
      </c>
      <c r="D18" s="18">
        <f t="shared" si="3"/>
        <v>-12500</v>
      </c>
      <c r="E18" s="463">
        <v>162500</v>
      </c>
      <c r="F18" s="24">
        <f>Sentralt!B12</f>
        <v>150000</v>
      </c>
      <c r="G18" s="26"/>
      <c r="H18" s="24"/>
      <c r="I18" s="26"/>
      <c r="J18" s="24"/>
      <c r="K18" s="26"/>
      <c r="L18" s="24"/>
      <c r="M18" s="55"/>
      <c r="N18" s="28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s="351" customFormat="1" ht="14.5" x14ac:dyDescent="0.35">
      <c r="A19" s="22">
        <v>3960</v>
      </c>
      <c r="B19" s="39" t="s">
        <v>579</v>
      </c>
      <c r="C19" s="24">
        <f t="shared" si="2"/>
        <v>0</v>
      </c>
      <c r="D19" s="18"/>
      <c r="E19" s="463">
        <v>0</v>
      </c>
      <c r="F19" s="24">
        <f>Sentralt!B18</f>
        <v>0</v>
      </c>
      <c r="G19" s="26"/>
      <c r="H19" s="24"/>
      <c r="I19" s="26"/>
      <c r="J19" s="24"/>
      <c r="K19" s="26"/>
      <c r="L19" s="24"/>
      <c r="M19" s="55" t="s">
        <v>32</v>
      </c>
      <c r="N19" s="28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s="281" customFormat="1" ht="14.5" x14ac:dyDescent="0.35">
      <c r="A20" s="22">
        <v>3970</v>
      </c>
      <c r="B20" s="39" t="s">
        <v>578</v>
      </c>
      <c r="C20" s="24">
        <f>F20+H20+J20+L20</f>
        <v>2000</v>
      </c>
      <c r="D20" s="18">
        <f>C20-E20</f>
        <v>0</v>
      </c>
      <c r="E20" s="463">
        <v>2000</v>
      </c>
      <c r="F20" s="24">
        <f>Sentralt!B19</f>
        <v>2000</v>
      </c>
      <c r="G20" s="26"/>
      <c r="H20" s="24"/>
      <c r="I20" s="26"/>
      <c r="J20" s="24"/>
      <c r="K20" s="26"/>
      <c r="L20" s="24"/>
      <c r="M20" s="55"/>
      <c r="N20" s="28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5" x14ac:dyDescent="0.35">
      <c r="A21" s="22"/>
      <c r="B21" s="34" t="s">
        <v>10</v>
      </c>
      <c r="C21" s="644">
        <f>SUM(C10:C20)</f>
        <v>6302817.0455603451</v>
      </c>
      <c r="D21" s="35">
        <f>SUM(D10:D18)</f>
        <v>250731.62515344785</v>
      </c>
      <c r="E21" s="35">
        <f>SUM(E10:E20)</f>
        <v>6052085.4204068966</v>
      </c>
      <c r="F21" s="35">
        <f>SUM(F10:F20)</f>
        <v>3338240</v>
      </c>
      <c r="G21" s="35">
        <f t="shared" ref="G21:L21" si="4">SUM(G10:G18)</f>
        <v>0</v>
      </c>
      <c r="H21" s="35">
        <f t="shared" si="4"/>
        <v>2824577.0455603446</v>
      </c>
      <c r="I21" s="35">
        <f t="shared" si="4"/>
        <v>0</v>
      </c>
      <c r="J21" s="35">
        <f t="shared" si="4"/>
        <v>0</v>
      </c>
      <c r="K21" s="35">
        <f t="shared" si="4"/>
        <v>0</v>
      </c>
      <c r="L21" s="35">
        <f t="shared" si="4"/>
        <v>140000</v>
      </c>
      <c r="M21" s="55"/>
      <c r="N21" s="28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5" x14ac:dyDescent="0.35">
      <c r="A22" s="22"/>
      <c r="B22" s="34" t="s">
        <v>94</v>
      </c>
      <c r="C22" s="646">
        <f>C9+C21</f>
        <v>7086634.5805603452</v>
      </c>
      <c r="D22" s="44">
        <f>D9+D21</f>
        <v>131579.96015344784</v>
      </c>
      <c r="E22" s="44">
        <v>6955054.6204068968</v>
      </c>
      <c r="F22" s="44">
        <f t="shared" ref="F22:L22" si="5">F9+F21</f>
        <v>3913857.5350000001</v>
      </c>
      <c r="G22" s="44">
        <f t="shared" si="5"/>
        <v>0</v>
      </c>
      <c r="H22" s="44">
        <f t="shared" si="5"/>
        <v>3032777.0455603446</v>
      </c>
      <c r="I22" s="44">
        <f t="shared" si="5"/>
        <v>0</v>
      </c>
      <c r="J22" s="44">
        <f t="shared" si="5"/>
        <v>0</v>
      </c>
      <c r="K22" s="44">
        <f t="shared" si="5"/>
        <v>0</v>
      </c>
      <c r="L22" s="44">
        <f t="shared" si="5"/>
        <v>140000</v>
      </c>
      <c r="M22" s="55"/>
      <c r="N22" s="28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5" x14ac:dyDescent="0.35">
      <c r="A23" s="22"/>
      <c r="B23" s="23"/>
      <c r="C23" s="24"/>
      <c r="D23" s="18"/>
      <c r="E23" s="463"/>
      <c r="F23" s="24"/>
      <c r="G23" s="26"/>
      <c r="H23" s="24"/>
      <c r="I23" s="26"/>
      <c r="J23" s="24"/>
      <c r="K23" s="26"/>
      <c r="L23" s="24"/>
      <c r="M23" s="55"/>
      <c r="N23" s="28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5" x14ac:dyDescent="0.35">
      <c r="A24" s="22"/>
      <c r="B24" s="45" t="s">
        <v>95</v>
      </c>
      <c r="C24" s="24"/>
      <c r="D24" s="18"/>
      <c r="E24" s="463"/>
      <c r="F24" s="24"/>
      <c r="G24" s="26"/>
      <c r="H24" s="24"/>
      <c r="I24" s="26"/>
      <c r="J24" s="24"/>
      <c r="K24" s="26"/>
      <c r="L24" s="24"/>
      <c r="M24" s="55"/>
      <c r="N24" s="28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5" x14ac:dyDescent="0.35">
      <c r="A25" s="22">
        <v>4010</v>
      </c>
      <c r="B25" s="23" t="s">
        <v>12</v>
      </c>
      <c r="C25" s="24">
        <f t="shared" ref="C25:C32" si="6">F25+H25+J25+L25</f>
        <v>310000</v>
      </c>
      <c r="D25" s="18">
        <f t="shared" ref="D25:D32" si="7">C25-E25</f>
        <v>-84200</v>
      </c>
      <c r="E25" s="463">
        <v>394200</v>
      </c>
      <c r="F25" s="24">
        <f>Sentralt!B54</f>
        <v>101800</v>
      </c>
      <c r="G25" s="26"/>
      <c r="H25" s="463">
        <f>Program!H22</f>
        <v>208200</v>
      </c>
      <c r="I25" s="26"/>
      <c r="J25" s="24"/>
      <c r="K25" s="26"/>
      <c r="L25" s="24"/>
      <c r="M25" s="55"/>
      <c r="N25" s="28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5" x14ac:dyDescent="0.35">
      <c r="A26" s="22">
        <v>4610</v>
      </c>
      <c r="B26" s="39" t="s">
        <v>96</v>
      </c>
      <c r="C26" s="24">
        <f t="shared" si="6"/>
        <v>725000</v>
      </c>
      <c r="D26" s="18">
        <f t="shared" si="7"/>
        <v>-134000</v>
      </c>
      <c r="E26" s="463">
        <v>859000</v>
      </c>
      <c r="F26" s="24"/>
      <c r="G26" s="26"/>
      <c r="H26" s="463">
        <f>Program!H24+Program!H25+Program!H26+Program!H27</f>
        <v>725000</v>
      </c>
      <c r="I26" s="26"/>
      <c r="J26" s="24"/>
      <c r="K26" s="26"/>
      <c r="L26" s="24"/>
      <c r="M26" s="55"/>
      <c r="N26" s="28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5" x14ac:dyDescent="0.35">
      <c r="A27" s="22">
        <v>4615</v>
      </c>
      <c r="B27" s="23" t="s">
        <v>14</v>
      </c>
      <c r="C27" s="24">
        <f t="shared" si="6"/>
        <v>0</v>
      </c>
      <c r="D27" s="18">
        <f t="shared" si="7"/>
        <v>0</v>
      </c>
      <c r="E27" s="463">
        <v>0</v>
      </c>
      <c r="F27" s="24"/>
      <c r="G27" s="26"/>
      <c r="H27" s="24"/>
      <c r="I27" s="26"/>
      <c r="J27" s="24"/>
      <c r="K27" s="26"/>
      <c r="L27" s="24"/>
      <c r="M27" s="55"/>
      <c r="N27" s="28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5" x14ac:dyDescent="0.35">
      <c r="A28" s="22">
        <v>4922</v>
      </c>
      <c r="B28" s="23" t="s">
        <v>525</v>
      </c>
      <c r="C28" s="24">
        <f t="shared" si="6"/>
        <v>1147054.2462499996</v>
      </c>
      <c r="D28" s="18">
        <f t="shared" si="7"/>
        <v>282905.52362134436</v>
      </c>
      <c r="E28" s="463">
        <v>864148.72262865526</v>
      </c>
      <c r="F28" s="24">
        <f>Sentralt!B51+Sentralt!B49+Sentralt!B50</f>
        <v>47448.425000000003</v>
      </c>
      <c r="G28" s="26"/>
      <c r="H28" s="24">
        <f>Program!H47+Program!H49+Program!H50+Program!H13</f>
        <v>1099605.8212499996</v>
      </c>
      <c r="I28" s="26"/>
      <c r="J28" s="24"/>
      <c r="K28" s="26"/>
      <c r="L28" s="24"/>
      <c r="M28" s="55"/>
      <c r="N28" s="28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5" x14ac:dyDescent="0.35">
      <c r="A29" s="2">
        <v>4927</v>
      </c>
      <c r="B29" s="23" t="s">
        <v>7</v>
      </c>
      <c r="C29" s="24">
        <f t="shared" si="6"/>
        <v>456000</v>
      </c>
      <c r="D29" s="18">
        <f t="shared" si="7"/>
        <v>9500</v>
      </c>
      <c r="E29" s="463">
        <v>446500</v>
      </c>
      <c r="F29" s="24">
        <f>Sentralt!B56</f>
        <v>456000</v>
      </c>
      <c r="G29" s="26"/>
      <c r="H29" s="24"/>
      <c r="I29" s="26"/>
      <c r="J29" s="24"/>
      <c r="K29" s="26"/>
      <c r="L29" s="24"/>
      <c r="M29" s="55"/>
      <c r="N29" s="28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5" x14ac:dyDescent="0.35">
      <c r="A30" s="2">
        <v>4928</v>
      </c>
      <c r="B30" s="23" t="s">
        <v>15</v>
      </c>
      <c r="C30" s="24">
        <f t="shared" si="6"/>
        <v>324450</v>
      </c>
      <c r="D30" s="18">
        <f t="shared" si="7"/>
        <v>-141050</v>
      </c>
      <c r="E30" s="463">
        <v>465500</v>
      </c>
      <c r="F30" s="24">
        <f>Sentralt!B58</f>
        <v>324450</v>
      </c>
      <c r="G30" s="26"/>
      <c r="H30" s="24"/>
      <c r="I30" s="26"/>
      <c r="J30" s="24"/>
      <c r="K30" s="26"/>
      <c r="L30" s="24"/>
      <c r="M30" s="55"/>
      <c r="N30" s="2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5" x14ac:dyDescent="0.35">
      <c r="A31" s="2">
        <v>4929</v>
      </c>
      <c r="B31" s="23" t="s">
        <v>97</v>
      </c>
      <c r="C31" s="24">
        <f t="shared" si="6"/>
        <v>150000</v>
      </c>
      <c r="D31" s="18">
        <f t="shared" si="7"/>
        <v>-12500</v>
      </c>
      <c r="E31" s="463">
        <v>162500</v>
      </c>
      <c r="F31" s="24">
        <f>Sentralt!B59</f>
        <v>150000</v>
      </c>
      <c r="G31" s="26"/>
      <c r="H31" s="24"/>
      <c r="I31" s="26"/>
      <c r="J31" s="24"/>
      <c r="K31" s="26"/>
      <c r="L31" s="24"/>
      <c r="M31" s="55"/>
      <c r="N31" s="2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5" x14ac:dyDescent="0.35">
      <c r="A32" s="2">
        <v>4930</v>
      </c>
      <c r="B32" s="23" t="s">
        <v>17</v>
      </c>
      <c r="C32" s="24">
        <f t="shared" si="6"/>
        <v>140000</v>
      </c>
      <c r="D32" s="18">
        <f t="shared" si="7"/>
        <v>0</v>
      </c>
      <c r="E32" s="463">
        <v>140000</v>
      </c>
      <c r="F32" s="24"/>
      <c r="G32" s="26"/>
      <c r="H32" s="24"/>
      <c r="I32" s="26"/>
      <c r="J32" s="24"/>
      <c r="K32" s="26"/>
      <c r="L32" s="24">
        <f>Prosjekter!F6</f>
        <v>140000</v>
      </c>
      <c r="M32" s="55"/>
      <c r="N32" s="28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5" x14ac:dyDescent="0.35">
      <c r="A33" s="2"/>
      <c r="B33" s="48" t="s">
        <v>18</v>
      </c>
      <c r="C33" s="644">
        <f t="shared" ref="C33:L33" si="8">SUM(C25:C32)</f>
        <v>3252504.2462499999</v>
      </c>
      <c r="D33" s="35">
        <f t="shared" si="8"/>
        <v>-79344.476378655643</v>
      </c>
      <c r="E33" s="35">
        <f t="shared" si="8"/>
        <v>3331848.7226286554</v>
      </c>
      <c r="F33" s="35">
        <f t="shared" si="8"/>
        <v>1079698.425</v>
      </c>
      <c r="G33" s="35">
        <f t="shared" si="8"/>
        <v>0</v>
      </c>
      <c r="H33" s="35">
        <f t="shared" si="8"/>
        <v>2032805.8212499996</v>
      </c>
      <c r="I33" s="35">
        <f t="shared" si="8"/>
        <v>0</v>
      </c>
      <c r="J33" s="35">
        <f t="shared" si="8"/>
        <v>0</v>
      </c>
      <c r="K33" s="35">
        <f t="shared" si="8"/>
        <v>0</v>
      </c>
      <c r="L33" s="35">
        <f t="shared" si="8"/>
        <v>140000</v>
      </c>
      <c r="M33" s="55"/>
      <c r="N33" s="28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5" x14ac:dyDescent="0.35">
      <c r="A34" s="2">
        <v>5000</v>
      </c>
      <c r="B34" s="23" t="s">
        <v>19</v>
      </c>
      <c r="C34" s="24">
        <f>F34+H34+J34+L34</f>
        <v>840112.77919999999</v>
      </c>
      <c r="D34" s="18">
        <f t="shared" ref="D34:D42" si="9">C34-E34</f>
        <v>840112.77919999999</v>
      </c>
      <c r="E34" s="463">
        <v>0</v>
      </c>
      <c r="F34" s="24">
        <f>Sentralt!B68+Sentralt!B69+Sentralt!B83</f>
        <v>840112.77919999999</v>
      </c>
      <c r="G34" s="26"/>
      <c r="H34" s="24"/>
      <c r="I34" s="26"/>
      <c r="J34" s="24"/>
      <c r="K34" s="26"/>
      <c r="L34" s="24"/>
      <c r="M34" s="55"/>
      <c r="N34" s="28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5" x14ac:dyDescent="0.35">
      <c r="A35" s="2">
        <v>5001</v>
      </c>
      <c r="B35" s="23" t="s">
        <v>20</v>
      </c>
      <c r="C35" s="463">
        <f t="shared" ref="C35:C36" si="10">F35+H35+J35+L35</f>
        <v>0</v>
      </c>
      <c r="D35" s="18">
        <f t="shared" si="9"/>
        <v>0</v>
      </c>
      <c r="E35" s="463">
        <v>0</v>
      </c>
      <c r="F35" s="24"/>
      <c r="G35" s="26"/>
      <c r="H35" s="24"/>
      <c r="I35" s="26"/>
      <c r="J35" s="24"/>
      <c r="K35" s="26"/>
      <c r="L35" s="24"/>
      <c r="M35" s="55"/>
      <c r="N35" s="28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5" x14ac:dyDescent="0.35">
      <c r="A36" s="2">
        <v>5010</v>
      </c>
      <c r="B36" s="23" t="s">
        <v>21</v>
      </c>
      <c r="C36" s="463">
        <f t="shared" si="10"/>
        <v>0</v>
      </c>
      <c r="D36" s="18">
        <f t="shared" si="9"/>
        <v>-408789.81</v>
      </c>
      <c r="E36" s="463">
        <v>408789.81</v>
      </c>
      <c r="F36" s="463"/>
      <c r="G36" s="26"/>
      <c r="H36" s="24"/>
      <c r="I36" s="26"/>
      <c r="J36" s="24"/>
      <c r="K36" s="26"/>
      <c r="L36" s="24"/>
      <c r="M36" s="55"/>
      <c r="N36" s="28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5" x14ac:dyDescent="0.35">
      <c r="A37" s="22">
        <v>5020</v>
      </c>
      <c r="B37" s="23" t="s">
        <v>22</v>
      </c>
      <c r="C37" s="24">
        <f t="shared" ref="C37:C45" si="11">F37+H37+J37+L37</f>
        <v>100813.53350399999</v>
      </c>
      <c r="D37" s="18">
        <f t="shared" si="9"/>
        <v>51758.756303999995</v>
      </c>
      <c r="E37" s="463">
        <v>49054.777199999997</v>
      </c>
      <c r="F37" s="24">
        <f>Sentralt!B71</f>
        <v>100813.53350399999</v>
      </c>
      <c r="G37" s="26"/>
      <c r="H37" s="24"/>
      <c r="I37" s="26"/>
      <c r="J37" s="24"/>
      <c r="K37" s="26"/>
      <c r="L37" s="24"/>
      <c r="M37" s="55"/>
      <c r="N37" s="28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5" x14ac:dyDescent="0.35">
      <c r="A38" s="22">
        <v>5240</v>
      </c>
      <c r="B38" s="50" t="s">
        <v>98</v>
      </c>
      <c r="C38" s="24">
        <f t="shared" si="11"/>
        <v>0</v>
      </c>
      <c r="D38" s="18">
        <f t="shared" si="9"/>
        <v>0</v>
      </c>
      <c r="E38" s="463">
        <v>0</v>
      </c>
      <c r="F38" s="24"/>
      <c r="G38" s="26"/>
      <c r="H38" s="24"/>
      <c r="I38" s="26"/>
      <c r="J38" s="24"/>
      <c r="K38" s="26"/>
      <c r="L38" s="24"/>
      <c r="M38" s="55"/>
      <c r="N38" s="28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5" x14ac:dyDescent="0.35">
      <c r="A39" s="22">
        <v>5280</v>
      </c>
      <c r="B39" s="23" t="s">
        <v>24</v>
      </c>
      <c r="C39" s="24">
        <f t="shared" si="11"/>
        <v>0</v>
      </c>
      <c r="D39" s="18">
        <f t="shared" si="9"/>
        <v>0</v>
      </c>
      <c r="E39" s="463">
        <v>0</v>
      </c>
      <c r="F39" s="24"/>
      <c r="G39" s="26"/>
      <c r="H39" s="24"/>
      <c r="I39" s="26"/>
      <c r="J39" s="24"/>
      <c r="K39" s="26"/>
      <c r="L39" s="24"/>
      <c r="M39" s="55"/>
      <c r="N39" s="28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5" x14ac:dyDescent="0.35">
      <c r="A40" s="22">
        <v>5400</v>
      </c>
      <c r="B40" s="23" t="s">
        <v>25</v>
      </c>
      <c r="C40" s="24">
        <f t="shared" si="11"/>
        <v>124378.69696055999</v>
      </c>
      <c r="D40" s="18">
        <f t="shared" si="9"/>
        <v>65586.546486359992</v>
      </c>
      <c r="E40" s="463">
        <v>58792.150474199989</v>
      </c>
      <c r="F40" s="24">
        <f>Sentralt!B72</f>
        <v>124378.69696055999</v>
      </c>
      <c r="G40" s="26"/>
      <c r="H40" s="24"/>
      <c r="I40" s="26"/>
      <c r="J40" s="24"/>
      <c r="K40" s="26"/>
      <c r="L40" s="24"/>
      <c r="M40" s="55"/>
      <c r="N40" s="28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5" x14ac:dyDescent="0.35">
      <c r="A41" s="22">
        <v>5411</v>
      </c>
      <c r="B41" s="23" t="s">
        <v>99</v>
      </c>
      <c r="C41" s="24">
        <f t="shared" si="11"/>
        <v>14214.708224063997</v>
      </c>
      <c r="D41" s="18">
        <f t="shared" si="9"/>
        <v>7297.984638863999</v>
      </c>
      <c r="E41" s="463">
        <v>6916.7235851999985</v>
      </c>
      <c r="F41" s="24">
        <f>Sentralt!B73</f>
        <v>14214.708224063997</v>
      </c>
      <c r="G41" s="26"/>
      <c r="H41" s="24"/>
      <c r="I41" s="26"/>
      <c r="J41" s="24"/>
      <c r="K41" s="26"/>
      <c r="L41" s="24"/>
      <c r="M41" s="55"/>
      <c r="N41" s="28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5" x14ac:dyDescent="0.35">
      <c r="A42" s="22">
        <v>5420</v>
      </c>
      <c r="B42" s="23" t="s">
        <v>29</v>
      </c>
      <c r="C42" s="24">
        <f>F42+H42+J42+L42</f>
        <v>42005.638960000011</v>
      </c>
      <c r="D42" s="18">
        <f t="shared" si="9"/>
        <v>33829.842760000014</v>
      </c>
      <c r="E42" s="463">
        <v>8175.7961999999998</v>
      </c>
      <c r="F42" s="24">
        <f>Sentralt!B70</f>
        <v>42005.638960000011</v>
      </c>
      <c r="G42" s="26"/>
      <c r="H42" s="24"/>
      <c r="I42" s="26"/>
      <c r="J42" s="24"/>
      <c r="K42" s="26"/>
      <c r="L42" s="24"/>
      <c r="M42" s="55"/>
      <c r="N42" s="28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s="301" customFormat="1" ht="14.5" x14ac:dyDescent="0.35">
      <c r="A43" s="22">
        <v>5930</v>
      </c>
      <c r="B43" s="23" t="s">
        <v>562</v>
      </c>
      <c r="C43" s="24"/>
      <c r="D43" s="18"/>
      <c r="E43" s="463"/>
      <c r="F43" s="24"/>
      <c r="G43" s="26"/>
      <c r="H43" s="24"/>
      <c r="I43" s="26"/>
      <c r="J43" s="24"/>
      <c r="K43" s="26"/>
      <c r="L43" s="24"/>
      <c r="M43" s="55"/>
      <c r="N43" s="28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5" x14ac:dyDescent="0.35">
      <c r="A44" s="22">
        <v>5950</v>
      </c>
      <c r="B44" s="23" t="s">
        <v>28</v>
      </c>
      <c r="C44" s="24">
        <f t="shared" si="11"/>
        <v>3000</v>
      </c>
      <c r="D44" s="18">
        <f>C44-E44</f>
        <v>1500</v>
      </c>
      <c r="E44" s="463">
        <v>1500</v>
      </c>
      <c r="F44" s="24">
        <f>Sentralt!B84</f>
        <v>3000</v>
      </c>
      <c r="G44" s="26"/>
      <c r="H44" s="24"/>
      <c r="I44" s="26"/>
      <c r="J44" s="24"/>
      <c r="K44" s="26"/>
      <c r="L44" s="24"/>
      <c r="M44" s="55"/>
      <c r="N44" s="28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5" x14ac:dyDescent="0.35">
      <c r="A45" s="22">
        <v>5999</v>
      </c>
      <c r="B45" s="23" t="s">
        <v>30</v>
      </c>
      <c r="C45" s="24">
        <f t="shared" si="11"/>
        <v>0</v>
      </c>
      <c r="D45" s="18">
        <f>C45-E45</f>
        <v>0</v>
      </c>
      <c r="E45" s="463">
        <v>0</v>
      </c>
      <c r="F45" s="24"/>
      <c r="G45" s="26"/>
      <c r="H45" s="24"/>
      <c r="I45" s="26"/>
      <c r="J45" s="24"/>
      <c r="K45" s="26"/>
      <c r="L45" s="24"/>
      <c r="M45" s="55"/>
      <c r="N45" s="28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5" x14ac:dyDescent="0.35">
      <c r="A46" s="22"/>
      <c r="B46" s="48" t="s">
        <v>100</v>
      </c>
      <c r="C46" s="644">
        <f>SUM(C34:C45)</f>
        <v>1124525.3568486241</v>
      </c>
      <c r="D46" s="35">
        <f>SUM(D34:D45)</f>
        <v>591296.09938922396</v>
      </c>
      <c r="E46" s="35">
        <f>SUM(E34:E45)</f>
        <v>533229.25745939999</v>
      </c>
      <c r="F46" s="35">
        <f>SUM(F34:F45)</f>
        <v>1124525.3568486241</v>
      </c>
      <c r="G46" s="37"/>
      <c r="H46" s="35">
        <f>SUM(H34:H45)</f>
        <v>0</v>
      </c>
      <c r="I46" s="37"/>
      <c r="J46" s="35">
        <f>SUM(J34:J45)</f>
        <v>0</v>
      </c>
      <c r="K46" s="37"/>
      <c r="L46" s="35">
        <f>SUM(L34:L45)</f>
        <v>0</v>
      </c>
      <c r="M46" s="55"/>
      <c r="N46" s="28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5" x14ac:dyDescent="0.35">
      <c r="A47" s="2">
        <v>6300</v>
      </c>
      <c r="B47" s="50" t="s">
        <v>33</v>
      </c>
      <c r="C47" s="24">
        <f t="shared" ref="C47:C81" si="12">F47+H47+J47+L47</f>
        <v>200000</v>
      </c>
      <c r="D47" s="18">
        <f t="shared" ref="D47:D57" si="13">C47-E47</f>
        <v>0</v>
      </c>
      <c r="E47" s="463">
        <v>200000</v>
      </c>
      <c r="F47" s="24">
        <f>Sentralt!B78</f>
        <v>200000</v>
      </c>
      <c r="G47" s="26"/>
      <c r="H47" s="24"/>
      <c r="I47" s="26"/>
      <c r="J47" s="24"/>
      <c r="K47" s="26"/>
      <c r="L47" s="24"/>
      <c r="M47" s="55"/>
      <c r="N47" s="28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5" x14ac:dyDescent="0.35">
      <c r="A48" s="2">
        <v>6301</v>
      </c>
      <c r="B48" s="50" t="s">
        <v>34</v>
      </c>
      <c r="C48" s="24">
        <f t="shared" si="12"/>
        <v>156590.75</v>
      </c>
      <c r="D48" s="18">
        <f t="shared" si="13"/>
        <v>146590.75</v>
      </c>
      <c r="E48" s="463">
        <v>10000</v>
      </c>
      <c r="F48" s="24">
        <f>Sentralt!E27+Sentralt!E29</f>
        <v>10000</v>
      </c>
      <c r="G48" s="26"/>
      <c r="H48" s="24">
        <f>(Program!H31+Program!H33+Program!H35+Program!H38+Program!H29+Program!H42+Program!H44+Program!H46)*0.5</f>
        <v>146590.75</v>
      </c>
      <c r="I48" s="26"/>
      <c r="J48" s="24"/>
      <c r="K48" s="26"/>
      <c r="L48" s="24"/>
      <c r="M48" s="55"/>
      <c r="N48" s="28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5" x14ac:dyDescent="0.35">
      <c r="A49" s="2">
        <v>6340</v>
      </c>
      <c r="B49" s="50" t="s">
        <v>35</v>
      </c>
      <c r="C49" s="24">
        <f t="shared" si="12"/>
        <v>0</v>
      </c>
      <c r="D49" s="18">
        <f t="shared" si="13"/>
        <v>0</v>
      </c>
      <c r="E49" s="463">
        <v>0</v>
      </c>
      <c r="F49" s="24"/>
      <c r="G49" s="26"/>
      <c r="H49" s="24"/>
      <c r="I49" s="26"/>
      <c r="J49" s="24"/>
      <c r="K49" s="26"/>
      <c r="L49" s="24"/>
      <c r="M49" s="55"/>
      <c r="N49" s="2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5" x14ac:dyDescent="0.35">
      <c r="A50" s="22">
        <v>6430</v>
      </c>
      <c r="B50" s="50" t="s">
        <v>36</v>
      </c>
      <c r="C50" s="24">
        <f t="shared" si="12"/>
        <v>50000</v>
      </c>
      <c r="D50" s="18">
        <f t="shared" si="13"/>
        <v>50000</v>
      </c>
      <c r="E50" s="463">
        <v>0</v>
      </c>
      <c r="F50" s="24">
        <f>Sentralt!B80</f>
        <v>50000</v>
      </c>
      <c r="G50" s="26"/>
      <c r="H50" s="24"/>
      <c r="I50" s="26"/>
      <c r="J50" s="24"/>
      <c r="K50" s="26"/>
      <c r="L50" s="24"/>
      <c r="M50" s="55"/>
      <c r="N50" s="28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s="481" customFormat="1" ht="14.5" x14ac:dyDescent="0.35">
      <c r="A51" s="22">
        <v>6540</v>
      </c>
      <c r="B51" s="50" t="s">
        <v>669</v>
      </c>
      <c r="C51" s="463">
        <f t="shared" si="12"/>
        <v>10000</v>
      </c>
      <c r="D51" s="18">
        <f t="shared" si="13"/>
        <v>10000</v>
      </c>
      <c r="E51" s="463">
        <v>0</v>
      </c>
      <c r="F51" s="463">
        <f>Sentralt!B75</f>
        <v>10000</v>
      </c>
      <c r="G51" s="26"/>
      <c r="H51" s="463"/>
      <c r="I51" s="26"/>
      <c r="J51" s="463"/>
      <c r="K51" s="26"/>
      <c r="L51" s="463"/>
      <c r="M51" s="55"/>
      <c r="N51" s="28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5" x14ac:dyDescent="0.35">
      <c r="A52" s="22">
        <v>6560</v>
      </c>
      <c r="B52" s="50" t="s">
        <v>37</v>
      </c>
      <c r="C52" s="24">
        <f t="shared" si="12"/>
        <v>0</v>
      </c>
      <c r="D52" s="18">
        <f t="shared" si="13"/>
        <v>0</v>
      </c>
      <c r="E52" s="463">
        <v>0</v>
      </c>
      <c r="F52" s="24"/>
      <c r="G52" s="26"/>
      <c r="H52" s="24"/>
      <c r="I52" s="26"/>
      <c r="J52" s="24"/>
      <c r="K52" s="26"/>
      <c r="L52" s="24"/>
      <c r="M52" s="55"/>
      <c r="N52" s="28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5" x14ac:dyDescent="0.35">
      <c r="A53" s="22">
        <v>6701</v>
      </c>
      <c r="B53" s="50" t="s">
        <v>580</v>
      </c>
      <c r="C53" s="463">
        <f t="shared" si="12"/>
        <v>70000</v>
      </c>
      <c r="D53" s="18">
        <f t="shared" si="13"/>
        <v>5000</v>
      </c>
      <c r="E53" s="463">
        <v>65000</v>
      </c>
      <c r="F53" s="463">
        <f>Sentralt!B46</f>
        <v>70000</v>
      </c>
      <c r="G53" s="26"/>
      <c r="H53" s="24"/>
      <c r="I53" s="26"/>
      <c r="J53" s="24"/>
      <c r="K53" s="26"/>
      <c r="L53" s="24"/>
      <c r="M53" s="55"/>
      <c r="N53" s="28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s="301" customFormat="1" ht="14.5" x14ac:dyDescent="0.35">
      <c r="A54" s="22">
        <v>6705</v>
      </c>
      <c r="B54" s="50" t="s">
        <v>38</v>
      </c>
      <c r="C54" s="463">
        <f t="shared" si="12"/>
        <v>100000</v>
      </c>
      <c r="D54" s="18">
        <f t="shared" si="13"/>
        <v>25000</v>
      </c>
      <c r="E54" s="463">
        <v>75000</v>
      </c>
      <c r="F54" s="463">
        <f>Sentralt!B47</f>
        <v>100000</v>
      </c>
      <c r="G54" s="26"/>
      <c r="H54" s="24"/>
      <c r="I54" s="26"/>
      <c r="J54" s="24"/>
      <c r="K54" s="26"/>
      <c r="L54" s="24"/>
      <c r="M54" s="55"/>
      <c r="N54" s="28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5" x14ac:dyDescent="0.35">
      <c r="A55" s="22">
        <v>6720</v>
      </c>
      <c r="B55" s="50" t="s">
        <v>101</v>
      </c>
      <c r="C55" s="24">
        <f t="shared" si="12"/>
        <v>0</v>
      </c>
      <c r="D55" s="18">
        <f t="shared" si="13"/>
        <v>0</v>
      </c>
      <c r="E55" s="463">
        <v>0</v>
      </c>
      <c r="F55" s="24"/>
      <c r="G55" s="26"/>
      <c r="H55" s="24"/>
      <c r="I55" s="26"/>
      <c r="J55" s="24"/>
      <c r="K55" s="26"/>
      <c r="L55" s="24"/>
      <c r="M55" s="55"/>
      <c r="N55" s="28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5" x14ac:dyDescent="0.35">
      <c r="A56" s="22">
        <v>6800</v>
      </c>
      <c r="B56" s="50" t="s">
        <v>40</v>
      </c>
      <c r="C56" s="24">
        <f t="shared" si="12"/>
        <v>10000</v>
      </c>
      <c r="D56" s="18">
        <f t="shared" si="13"/>
        <v>-5000</v>
      </c>
      <c r="E56" s="463">
        <v>15000</v>
      </c>
      <c r="F56" s="24">
        <f>Sentralt!B76</f>
        <v>10000</v>
      </c>
      <c r="G56" s="26"/>
      <c r="H56" s="24"/>
      <c r="I56" s="26"/>
      <c r="J56" s="24"/>
      <c r="K56" s="26"/>
      <c r="L56" s="24"/>
      <c r="M56" s="55"/>
      <c r="N56" s="28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5" x14ac:dyDescent="0.35">
      <c r="A57" s="22">
        <v>6810</v>
      </c>
      <c r="B57" s="50" t="s">
        <v>41</v>
      </c>
      <c r="C57" s="24">
        <f t="shared" si="12"/>
        <v>152000</v>
      </c>
      <c r="D57" s="18">
        <f t="shared" si="13"/>
        <v>-110000</v>
      </c>
      <c r="E57" s="463">
        <v>262000</v>
      </c>
      <c r="F57" s="24">
        <f>Sentralt!B44+Sentralt!B45+Sentralt!B52+Sentralt!B53</f>
        <v>152000</v>
      </c>
      <c r="G57" s="26"/>
      <c r="H57" s="24"/>
      <c r="I57" s="26"/>
      <c r="J57" s="24"/>
      <c r="K57" s="26"/>
      <c r="L57" s="24"/>
      <c r="M57" s="55"/>
      <c r="N57" s="28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5" x14ac:dyDescent="0.35">
      <c r="A58" s="22">
        <v>6820</v>
      </c>
      <c r="B58" s="50" t="s">
        <v>42</v>
      </c>
      <c r="C58" s="24">
        <f t="shared" si="12"/>
        <v>0</v>
      </c>
      <c r="D58" s="18">
        <f t="shared" ref="D58:D84" si="14">C58-E58</f>
        <v>-53000</v>
      </c>
      <c r="E58" s="463">
        <v>53000</v>
      </c>
      <c r="F58" s="24">
        <f>Sentralt!B60+Sentralt!B61</f>
        <v>0</v>
      </c>
      <c r="G58" s="26"/>
      <c r="H58" s="24"/>
      <c r="I58" s="26"/>
      <c r="J58" s="24"/>
      <c r="K58" s="26"/>
      <c r="L58" s="24"/>
      <c r="M58" s="55"/>
      <c r="N58" s="28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5" x14ac:dyDescent="0.35">
      <c r="A59" s="22">
        <v>6840</v>
      </c>
      <c r="B59" s="50" t="s">
        <v>102</v>
      </c>
      <c r="C59" s="24">
        <f t="shared" si="12"/>
        <v>0</v>
      </c>
      <c r="D59" s="18">
        <f t="shared" si="14"/>
        <v>0</v>
      </c>
      <c r="E59" s="463">
        <v>0</v>
      </c>
      <c r="F59" s="24"/>
      <c r="G59" s="26"/>
      <c r="H59" s="24"/>
      <c r="I59" s="26"/>
      <c r="J59" s="24"/>
      <c r="K59" s="26"/>
      <c r="L59" s="24"/>
      <c r="M59" s="55"/>
      <c r="N59" s="28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5" x14ac:dyDescent="0.35">
      <c r="A60" s="22">
        <v>6860</v>
      </c>
      <c r="B60" s="50" t="s">
        <v>103</v>
      </c>
      <c r="C60" s="24">
        <f t="shared" si="12"/>
        <v>45000</v>
      </c>
      <c r="D60" s="18">
        <f t="shared" si="14"/>
        <v>-15000</v>
      </c>
      <c r="E60" s="463">
        <v>60000</v>
      </c>
      <c r="F60" s="24">
        <f>Sentralt!E99</f>
        <v>45000</v>
      </c>
      <c r="G60" s="26"/>
      <c r="H60" s="24"/>
      <c r="I60" s="26"/>
      <c r="J60" s="24"/>
      <c r="K60" s="26"/>
      <c r="L60" s="24"/>
      <c r="M60" s="55"/>
      <c r="N60" s="28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5" x14ac:dyDescent="0.35">
      <c r="A61" s="2">
        <v>6868</v>
      </c>
      <c r="B61" s="50" t="s">
        <v>45</v>
      </c>
      <c r="C61" s="24">
        <f t="shared" si="12"/>
        <v>155590.75</v>
      </c>
      <c r="D61" s="18">
        <f t="shared" si="14"/>
        <v>-212494</v>
      </c>
      <c r="E61" s="463">
        <v>368084.75</v>
      </c>
      <c r="F61" s="24">
        <f>Sentralt!B74</f>
        <v>9000</v>
      </c>
      <c r="G61" s="26"/>
      <c r="H61" s="24">
        <f>(Program!H31+Program!H33+Program!H35+Program!H38+Program!H29+Program!H42+Program!H44+Program!H46)*0.5</f>
        <v>146590.75</v>
      </c>
      <c r="I61" s="26"/>
      <c r="J61" s="24"/>
      <c r="K61" s="26"/>
      <c r="L61" s="24"/>
      <c r="M61" s="55"/>
      <c r="N61" s="28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5" x14ac:dyDescent="0.35">
      <c r="A62" s="2">
        <v>6900</v>
      </c>
      <c r="B62" s="50" t="s">
        <v>46</v>
      </c>
      <c r="C62" s="24">
        <f t="shared" si="12"/>
        <v>10000</v>
      </c>
      <c r="D62" s="18">
        <f t="shared" si="14"/>
        <v>6000</v>
      </c>
      <c r="E62" s="463">
        <v>4000</v>
      </c>
      <c r="F62" s="24">
        <f>Sentralt!B82</f>
        <v>10000</v>
      </c>
      <c r="G62" s="26"/>
      <c r="H62" s="24"/>
      <c r="I62" s="26"/>
      <c r="J62" s="24"/>
      <c r="K62" s="26"/>
      <c r="L62" s="24"/>
      <c r="M62" s="55"/>
      <c r="N62" s="28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5" x14ac:dyDescent="0.35">
      <c r="A63" s="22">
        <v>6940</v>
      </c>
      <c r="B63" s="50" t="s">
        <v>47</v>
      </c>
      <c r="C63" s="24">
        <f t="shared" si="12"/>
        <v>45000</v>
      </c>
      <c r="D63" s="18">
        <f t="shared" si="14"/>
        <v>-27000</v>
      </c>
      <c r="E63" s="463">
        <v>72000</v>
      </c>
      <c r="F63" s="463">
        <f>Sentralt!B81+Sentralt!B62</f>
        <v>45000</v>
      </c>
      <c r="G63" s="26"/>
      <c r="H63" s="24"/>
      <c r="I63" s="26"/>
      <c r="J63" s="24"/>
      <c r="K63" s="26"/>
      <c r="L63" s="24"/>
      <c r="M63" s="55"/>
      <c r="N63" s="28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5" x14ac:dyDescent="0.35">
      <c r="A64" s="22">
        <v>6960</v>
      </c>
      <c r="B64" s="50" t="s">
        <v>48</v>
      </c>
      <c r="C64" s="24">
        <f t="shared" si="12"/>
        <v>20000</v>
      </c>
      <c r="D64" s="18">
        <f t="shared" si="14"/>
        <v>10000</v>
      </c>
      <c r="E64" s="463">
        <v>10000</v>
      </c>
      <c r="F64" s="24">
        <f>Sentralt!B85</f>
        <v>20000</v>
      </c>
      <c r="G64" s="26"/>
      <c r="H64" s="24"/>
      <c r="I64" s="26"/>
      <c r="J64" s="24"/>
      <c r="K64" s="26"/>
      <c r="L64" s="24"/>
      <c r="M64" s="55"/>
      <c r="N64" s="28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5" x14ac:dyDescent="0.35">
      <c r="A65" s="22">
        <v>7040</v>
      </c>
      <c r="B65" s="50" t="s">
        <v>49</v>
      </c>
      <c r="C65" s="24">
        <f t="shared" si="12"/>
        <v>2000</v>
      </c>
      <c r="D65" s="18">
        <f t="shared" si="14"/>
        <v>2000</v>
      </c>
      <c r="E65" s="463">
        <v>0</v>
      </c>
      <c r="F65" s="24">
        <f>Sentralt!B77</f>
        <v>2000</v>
      </c>
      <c r="G65" s="26"/>
      <c r="H65" s="24"/>
      <c r="I65" s="26"/>
      <c r="J65" s="24"/>
      <c r="K65" s="26"/>
      <c r="L65" s="24"/>
      <c r="M65" s="55"/>
      <c r="N65" s="28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5" x14ac:dyDescent="0.35">
      <c r="A66" s="22">
        <v>7105</v>
      </c>
      <c r="B66" s="50" t="s">
        <v>50</v>
      </c>
      <c r="C66" s="24">
        <f t="shared" si="12"/>
        <v>0</v>
      </c>
      <c r="D66" s="18">
        <f t="shared" si="14"/>
        <v>0</v>
      </c>
      <c r="E66" s="463">
        <v>0</v>
      </c>
      <c r="F66" s="24"/>
      <c r="G66" s="26"/>
      <c r="H66" s="24"/>
      <c r="I66" s="26"/>
      <c r="J66" s="24"/>
      <c r="K66" s="26"/>
      <c r="L66" s="24"/>
      <c r="M66" s="55"/>
      <c r="N66" s="28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5" x14ac:dyDescent="0.35">
      <c r="A67" s="22">
        <v>7140</v>
      </c>
      <c r="B67" s="50" t="s">
        <v>104</v>
      </c>
      <c r="C67" s="24">
        <f t="shared" si="12"/>
        <v>1031412.5</v>
      </c>
      <c r="D67" s="18">
        <f t="shared" si="14"/>
        <v>203357.5</v>
      </c>
      <c r="E67" s="463">
        <v>828055</v>
      </c>
      <c r="F67" s="24">
        <f>Sentralt!B41+Sentralt!C41+Sentralt!B99+Sentralt!C99</f>
        <v>356000</v>
      </c>
      <c r="G67" s="26"/>
      <c r="H67" s="463">
        <f>Program!H28+Program!H30+Program!H32+Program!H34+Program!H36+Program!H37+Program!H41+Program!H43+Program!H45</f>
        <v>356912.5</v>
      </c>
      <c r="I67" s="26"/>
      <c r="J67" s="24">
        <f>Komiteer!K12</f>
        <v>318500</v>
      </c>
      <c r="K67" s="26"/>
      <c r="L67" s="24"/>
      <c r="M67" s="55"/>
      <c r="N67" s="28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5" x14ac:dyDescent="0.35">
      <c r="A68" s="22">
        <v>7145</v>
      </c>
      <c r="B68" s="50" t="s">
        <v>52</v>
      </c>
      <c r="C68" s="24">
        <f t="shared" si="12"/>
        <v>459685</v>
      </c>
      <c r="D68" s="18">
        <f t="shared" si="14"/>
        <v>23875</v>
      </c>
      <c r="E68" s="463">
        <v>435810</v>
      </c>
      <c r="F68" s="24">
        <f>Sentralt!D41</f>
        <v>459685</v>
      </c>
      <c r="G68" s="26"/>
      <c r="H68" s="24"/>
      <c r="I68" s="26"/>
      <c r="J68" s="24"/>
      <c r="K68" s="26"/>
      <c r="L68" s="24"/>
      <c r="M68" s="55"/>
      <c r="N68" s="28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s="481" customFormat="1" ht="14.5" x14ac:dyDescent="0.35">
      <c r="A69" s="22">
        <v>7320</v>
      </c>
      <c r="B69" s="50" t="s">
        <v>670</v>
      </c>
      <c r="C69" s="463">
        <f t="shared" si="12"/>
        <v>15000</v>
      </c>
      <c r="D69" s="18"/>
      <c r="E69" s="463"/>
      <c r="F69" s="463">
        <f>Sentralt!B79</f>
        <v>15000</v>
      </c>
      <c r="G69" s="26"/>
      <c r="H69" s="463"/>
      <c r="I69" s="26"/>
      <c r="J69" s="463"/>
      <c r="K69" s="26"/>
      <c r="L69" s="463"/>
      <c r="M69" s="55"/>
      <c r="N69" s="28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5" x14ac:dyDescent="0.35">
      <c r="A70" s="22">
        <v>7360</v>
      </c>
      <c r="B70" s="50" t="s">
        <v>105</v>
      </c>
      <c r="C70" s="24">
        <f t="shared" si="12"/>
        <v>0</v>
      </c>
      <c r="D70" s="18">
        <f t="shared" si="14"/>
        <v>0</v>
      </c>
      <c r="E70" s="463">
        <v>0</v>
      </c>
      <c r="F70" s="24"/>
      <c r="G70" s="26"/>
      <c r="H70" s="24"/>
      <c r="I70" s="26"/>
      <c r="J70" s="24"/>
      <c r="K70" s="26"/>
      <c r="L70" s="24"/>
      <c r="M70" s="55"/>
      <c r="N70" s="28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s="282" customFormat="1" ht="14.5" x14ac:dyDescent="0.35">
      <c r="A71" s="22">
        <v>7400</v>
      </c>
      <c r="B71" s="284" t="s">
        <v>527</v>
      </c>
      <c r="C71" s="286">
        <f t="shared" si="12"/>
        <v>328769</v>
      </c>
      <c r="D71" s="18">
        <f t="shared" si="14"/>
        <v>17531</v>
      </c>
      <c r="E71" s="463">
        <v>311238</v>
      </c>
      <c r="F71" s="24"/>
      <c r="G71" s="26"/>
      <c r="H71" s="24">
        <f>Program!H48</f>
        <v>328769</v>
      </c>
      <c r="I71" s="26"/>
      <c r="J71" s="24"/>
      <c r="K71" s="26"/>
      <c r="L71" s="24"/>
      <c r="M71" s="55"/>
      <c r="N71" s="28"/>
      <c r="O71" s="2"/>
      <c r="P71" s="45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5" x14ac:dyDescent="0.35">
      <c r="A72" s="22">
        <v>7600</v>
      </c>
      <c r="B72" s="50" t="s">
        <v>106</v>
      </c>
      <c r="C72" s="24">
        <f t="shared" si="12"/>
        <v>0</v>
      </c>
      <c r="D72" s="18">
        <f t="shared" si="14"/>
        <v>0</v>
      </c>
      <c r="E72" s="463">
        <v>0</v>
      </c>
      <c r="F72" s="24"/>
      <c r="G72" s="26"/>
      <c r="H72" s="24"/>
      <c r="I72" s="26"/>
      <c r="J72" s="24"/>
      <c r="K72" s="26"/>
      <c r="L72" s="24"/>
      <c r="M72" s="55"/>
      <c r="N72" s="28"/>
      <c r="O72" s="2"/>
      <c r="P72" s="45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5" x14ac:dyDescent="0.35">
      <c r="A73" s="22">
        <v>7601</v>
      </c>
      <c r="B73" s="50" t="s">
        <v>54</v>
      </c>
      <c r="C73" s="286">
        <f t="shared" si="12"/>
        <v>22500</v>
      </c>
      <c r="D73" s="18">
        <f t="shared" si="14"/>
        <v>6500</v>
      </c>
      <c r="E73" s="463">
        <v>16000</v>
      </c>
      <c r="F73" s="24">
        <f>Sentralt!B48</f>
        <v>22500</v>
      </c>
      <c r="G73" s="26"/>
      <c r="H73" s="24"/>
      <c r="I73" s="26"/>
      <c r="J73" s="24"/>
      <c r="K73" s="26"/>
      <c r="L73" s="24"/>
      <c r="M73" s="55"/>
      <c r="N73" s="28"/>
      <c r="O73" s="2" t="s">
        <v>32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5" x14ac:dyDescent="0.35">
      <c r="A74" s="22">
        <v>7610</v>
      </c>
      <c r="B74" s="50" t="s">
        <v>55</v>
      </c>
      <c r="C74" s="24">
        <f t="shared" si="12"/>
        <v>0</v>
      </c>
      <c r="D74" s="18">
        <f t="shared" si="14"/>
        <v>0</v>
      </c>
      <c r="E74" s="463">
        <v>0</v>
      </c>
      <c r="F74" s="24"/>
      <c r="G74" s="26"/>
      <c r="H74" s="24"/>
      <c r="I74" s="26"/>
      <c r="J74" s="24"/>
      <c r="K74" s="26"/>
      <c r="L74" s="286">
        <f>(Prosjekter!F13-Prosjekter!F9-Prosjekter!F8-Prosjekter!F6)</f>
        <v>0</v>
      </c>
      <c r="M74" s="55"/>
      <c r="N74" s="28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5" x14ac:dyDescent="0.35">
      <c r="A75" s="22">
        <v>7612</v>
      </c>
      <c r="B75" s="50" t="s">
        <v>56</v>
      </c>
      <c r="C75" s="24">
        <f t="shared" si="12"/>
        <v>0</v>
      </c>
      <c r="D75" s="18">
        <f t="shared" si="14"/>
        <v>0</v>
      </c>
      <c r="E75" s="463">
        <v>0</v>
      </c>
      <c r="F75" s="24"/>
      <c r="G75" s="26"/>
      <c r="H75" s="24"/>
      <c r="I75" s="26"/>
      <c r="J75" s="24"/>
      <c r="K75" s="26"/>
      <c r="L75" s="24"/>
      <c r="M75" s="55"/>
      <c r="N75" s="28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5" x14ac:dyDescent="0.35">
      <c r="A76" s="22">
        <v>7620</v>
      </c>
      <c r="B76" s="50" t="s">
        <v>57</v>
      </c>
      <c r="C76" s="286">
        <f t="shared" si="12"/>
        <v>20000</v>
      </c>
      <c r="D76" s="18">
        <f t="shared" si="14"/>
        <v>4000</v>
      </c>
      <c r="E76" s="463">
        <v>16000</v>
      </c>
      <c r="F76" s="24">
        <f>Sentralt!B55</f>
        <v>20000</v>
      </c>
      <c r="G76" s="26"/>
      <c r="H76" s="24"/>
      <c r="I76" s="26"/>
      <c r="J76" s="24"/>
      <c r="K76" s="26"/>
      <c r="L76" s="24"/>
      <c r="M76" s="55"/>
      <c r="N76" s="28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5" x14ac:dyDescent="0.35">
      <c r="A77" s="22">
        <v>7650</v>
      </c>
      <c r="B77" s="50" t="s">
        <v>58</v>
      </c>
      <c r="C77" s="24">
        <f t="shared" si="12"/>
        <v>0</v>
      </c>
      <c r="D77" s="18">
        <f t="shared" si="14"/>
        <v>0</v>
      </c>
      <c r="E77" s="463">
        <v>0</v>
      </c>
      <c r="F77" s="24"/>
      <c r="G77" s="26"/>
      <c r="H77" s="24"/>
      <c r="I77" s="26"/>
      <c r="J77" s="24"/>
      <c r="K77" s="26"/>
      <c r="L77" s="24"/>
      <c r="M77" s="55"/>
      <c r="N77" s="28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5" x14ac:dyDescent="0.35">
      <c r="A78" s="22">
        <v>7770</v>
      </c>
      <c r="B78" s="50" t="s">
        <v>60</v>
      </c>
      <c r="C78" s="286">
        <f t="shared" si="12"/>
        <v>15000</v>
      </c>
      <c r="D78" s="18">
        <f t="shared" si="14"/>
        <v>0</v>
      </c>
      <c r="E78" s="463">
        <v>15000</v>
      </c>
      <c r="F78" s="24">
        <f>Sentralt!B63</f>
        <v>15000</v>
      </c>
      <c r="G78" s="26"/>
      <c r="H78" s="24"/>
      <c r="I78" s="26"/>
      <c r="J78" s="24"/>
      <c r="K78" s="26"/>
      <c r="L78" s="24"/>
      <c r="M78" s="55"/>
      <c r="N78" s="28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5" x14ac:dyDescent="0.35">
      <c r="A79" s="22">
        <v>7801</v>
      </c>
      <c r="B79" s="50" t="s">
        <v>107</v>
      </c>
      <c r="C79" s="24">
        <f t="shared" si="12"/>
        <v>0</v>
      </c>
      <c r="D79" s="18">
        <f t="shared" si="14"/>
        <v>0</v>
      </c>
      <c r="E79" s="463">
        <v>0</v>
      </c>
      <c r="F79" s="24"/>
      <c r="G79" s="26"/>
      <c r="H79" s="24"/>
      <c r="I79" s="26"/>
      <c r="J79" s="24"/>
      <c r="K79" s="26"/>
      <c r="L79" s="24"/>
      <c r="M79" s="55"/>
      <c r="N79" s="28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5" x14ac:dyDescent="0.35">
      <c r="A80" s="22">
        <v>7830</v>
      </c>
      <c r="B80" s="50" t="s">
        <v>62</v>
      </c>
      <c r="C80" s="24">
        <f t="shared" si="12"/>
        <v>0</v>
      </c>
      <c r="D80" s="18">
        <f t="shared" si="14"/>
        <v>0</v>
      </c>
      <c r="E80" s="463">
        <v>0</v>
      </c>
      <c r="F80" s="24">
        <f>Sentralt!B57</f>
        <v>0</v>
      </c>
      <c r="G80" s="26"/>
      <c r="H80" s="24"/>
      <c r="I80" s="26"/>
      <c r="J80" s="24"/>
      <c r="K80" s="26"/>
      <c r="L80" s="24"/>
      <c r="M80" s="55"/>
      <c r="N80" s="28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s="281" customFormat="1" ht="14.5" x14ac:dyDescent="0.35">
      <c r="A81" s="22">
        <v>7970</v>
      </c>
      <c r="B81" s="50" t="s">
        <v>251</v>
      </c>
      <c r="C81" s="286">
        <f t="shared" si="12"/>
        <v>2000</v>
      </c>
      <c r="D81" s="18">
        <f t="shared" si="14"/>
        <v>200</v>
      </c>
      <c r="E81" s="463">
        <v>1800</v>
      </c>
      <c r="F81" s="24">
        <f>Sentralt!B64</f>
        <v>2000</v>
      </c>
      <c r="G81" s="26"/>
      <c r="H81" s="24"/>
      <c r="I81" s="26"/>
      <c r="J81" s="24"/>
      <c r="K81" s="26"/>
      <c r="L81" s="24"/>
      <c r="M81" s="55"/>
      <c r="N81" s="28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5" x14ac:dyDescent="0.35">
      <c r="A82" s="22"/>
      <c r="B82" s="48" t="s">
        <v>63</v>
      </c>
      <c r="C82" s="35">
        <f>SUM(C47:C81)</f>
        <v>2920548</v>
      </c>
      <c r="D82" s="307">
        <f t="shared" si="14"/>
        <v>102560.25</v>
      </c>
      <c r="E82" s="35">
        <f>SUM(E47:E81)</f>
        <v>2817987.75</v>
      </c>
      <c r="F82" s="283">
        <f>SUM(F47:F81)</f>
        <v>1623185</v>
      </c>
      <c r="G82" s="37"/>
      <c r="H82" s="35">
        <f>SUM(H47:H80)</f>
        <v>978863</v>
      </c>
      <c r="I82" s="37"/>
      <c r="J82" s="35">
        <f>SUM(J47:J80)</f>
        <v>318500</v>
      </c>
      <c r="K82" s="37"/>
      <c r="L82" s="35">
        <f>SUM(L47:L80)</f>
        <v>0</v>
      </c>
      <c r="M82" s="55"/>
      <c r="N82" s="28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5" x14ac:dyDescent="0.35">
      <c r="A83" s="22"/>
      <c r="B83" s="45" t="s">
        <v>108</v>
      </c>
      <c r="C83" s="56">
        <f>C33+C46+C82</f>
        <v>7297577.6030986235</v>
      </c>
      <c r="D83" s="305">
        <f t="shared" si="14"/>
        <v>377527.87301056832</v>
      </c>
      <c r="E83" s="56">
        <v>6920049.7300880551</v>
      </c>
      <c r="F83" s="56">
        <f t="shared" ref="F83:L83" si="15">F33+F46+F82</f>
        <v>3827408.7818486243</v>
      </c>
      <c r="G83" s="56">
        <f t="shared" si="15"/>
        <v>0</v>
      </c>
      <c r="H83" s="56">
        <f t="shared" si="15"/>
        <v>3011668.8212499996</v>
      </c>
      <c r="I83" s="56">
        <f t="shared" si="15"/>
        <v>0</v>
      </c>
      <c r="J83" s="56">
        <f t="shared" si="15"/>
        <v>318500</v>
      </c>
      <c r="K83" s="56">
        <f t="shared" si="15"/>
        <v>0</v>
      </c>
      <c r="L83" s="56">
        <f t="shared" si="15"/>
        <v>140000</v>
      </c>
      <c r="M83" s="55"/>
      <c r="N83" s="28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5" x14ac:dyDescent="0.35">
      <c r="A84" s="22"/>
      <c r="B84" s="60" t="s">
        <v>65</v>
      </c>
      <c r="C84" s="59">
        <f>C22-C83</f>
        <v>-210943.02253827825</v>
      </c>
      <c r="D84" s="306">
        <f t="shared" si="14"/>
        <v>-245947.91285711993</v>
      </c>
      <c r="E84" s="59">
        <v>35004.890318841673</v>
      </c>
      <c r="F84" s="59">
        <f t="shared" ref="F84:L84" si="16">F22-F83</f>
        <v>86448.7531513758</v>
      </c>
      <c r="G84" s="59">
        <f t="shared" si="16"/>
        <v>0</v>
      </c>
      <c r="H84" s="59">
        <f t="shared" si="16"/>
        <v>21108.224310345016</v>
      </c>
      <c r="I84" s="59">
        <f t="shared" si="16"/>
        <v>0</v>
      </c>
      <c r="J84" s="59">
        <f t="shared" si="16"/>
        <v>-318500</v>
      </c>
      <c r="K84" s="59">
        <f t="shared" si="16"/>
        <v>0</v>
      </c>
      <c r="L84" s="59">
        <f t="shared" si="16"/>
        <v>0</v>
      </c>
      <c r="M84" s="55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5" x14ac:dyDescent="0.35">
      <c r="A85" s="2"/>
      <c r="B85" s="2"/>
      <c r="C85" s="24"/>
      <c r="D85" s="18"/>
      <c r="E85" s="179"/>
      <c r="F85" s="24"/>
      <c r="G85" s="26"/>
      <c r="H85" s="24"/>
      <c r="I85" s="26"/>
      <c r="J85" s="24"/>
      <c r="K85" s="26"/>
      <c r="L85" s="24"/>
      <c r="M85" s="28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5" x14ac:dyDescent="0.35">
      <c r="A86" s="61">
        <v>8040</v>
      </c>
      <c r="B86" s="23" t="s">
        <v>66</v>
      </c>
      <c r="C86" s="24">
        <f>FinansFond!B4</f>
        <v>27000</v>
      </c>
      <c r="D86" s="18">
        <f>C86-E86</f>
        <v>0</v>
      </c>
      <c r="E86" s="308">
        <v>27000</v>
      </c>
      <c r="F86" s="24"/>
      <c r="G86" s="26"/>
      <c r="H86" s="24"/>
      <c r="I86" s="26"/>
      <c r="J86" s="24"/>
      <c r="K86" s="26"/>
      <c r="L86" s="24"/>
      <c r="M86" s="28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5" x14ac:dyDescent="0.35">
      <c r="A87" s="61">
        <v>8179</v>
      </c>
      <c r="B87" s="23" t="s">
        <v>109</v>
      </c>
      <c r="C87" s="24">
        <f>FinansFond!B5</f>
        <v>0</v>
      </c>
      <c r="D87" s="18">
        <f>C87-E87</f>
        <v>18000</v>
      </c>
      <c r="E87" s="309">
        <v>-18000</v>
      </c>
      <c r="F87" s="24"/>
      <c r="G87" s="26"/>
      <c r="H87" s="24"/>
      <c r="I87" s="26"/>
      <c r="J87" s="24"/>
      <c r="K87" s="26"/>
      <c r="L87" s="24"/>
      <c r="M87" s="28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5" x14ac:dyDescent="0.35">
      <c r="A88" s="61"/>
      <c r="B88" s="23"/>
      <c r="C88" s="24">
        <f>F88+H88+J88+L88</f>
        <v>0</v>
      </c>
      <c r="D88" s="18">
        <f>C88-E88</f>
        <v>0</v>
      </c>
      <c r="E88" s="179">
        <v>0</v>
      </c>
      <c r="F88" s="24"/>
      <c r="G88" s="26"/>
      <c r="H88" s="24"/>
      <c r="I88" s="26"/>
      <c r="J88" s="24"/>
      <c r="K88" s="26"/>
      <c r="L88" s="24"/>
      <c r="M88" s="28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5" x14ac:dyDescent="0.35">
      <c r="A89" s="2"/>
      <c r="B89" s="45" t="s">
        <v>110</v>
      </c>
      <c r="C89" s="44">
        <f>SUM(C86:C87)</f>
        <v>27000</v>
      </c>
      <c r="D89" s="44">
        <f t="shared" ref="D89" si="17">-D86+D87-D88</f>
        <v>18000</v>
      </c>
      <c r="E89" s="310">
        <v>9000</v>
      </c>
      <c r="F89" s="24"/>
      <c r="G89" s="26"/>
      <c r="H89" s="24"/>
      <c r="I89" s="26"/>
      <c r="J89" s="24"/>
      <c r="K89" s="26"/>
      <c r="L89" s="24"/>
      <c r="M89" s="28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5" x14ac:dyDescent="0.35">
      <c r="A90" s="2"/>
      <c r="B90" s="60" t="s">
        <v>111</v>
      </c>
      <c r="C90" s="59">
        <f>C84+C89</f>
        <v>-183943.02253827825</v>
      </c>
      <c r="D90" s="59">
        <f t="shared" ref="D90" si="18">D84-D89</f>
        <v>-263947.91285711993</v>
      </c>
      <c r="E90" s="311">
        <v>-74214.898869814351</v>
      </c>
      <c r="F90" s="24"/>
      <c r="G90" s="26"/>
      <c r="H90" s="24"/>
      <c r="I90" s="26"/>
      <c r="J90" s="24"/>
      <c r="K90" s="26"/>
      <c r="L90" s="24"/>
      <c r="M90" s="28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5" x14ac:dyDescent="0.35">
      <c r="A91" s="2"/>
      <c r="B91" s="2"/>
      <c r="C91" s="24"/>
      <c r="D91" s="18"/>
      <c r="E91" s="179"/>
      <c r="F91" s="24"/>
      <c r="G91" s="26"/>
      <c r="H91" s="24"/>
      <c r="I91" s="26"/>
      <c r="J91" s="24"/>
      <c r="K91" s="26"/>
      <c r="L91" s="24"/>
      <c r="M91" s="28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5" x14ac:dyDescent="0.35">
      <c r="A92" s="61">
        <v>2025</v>
      </c>
      <c r="B92" s="23" t="s">
        <v>74</v>
      </c>
      <c r="C92" s="24">
        <f>FinansFond!B10</f>
        <v>21650</v>
      </c>
      <c r="D92" s="18"/>
      <c r="E92" s="312">
        <v>21250</v>
      </c>
      <c r="F92" s="24"/>
      <c r="G92" s="26"/>
      <c r="H92" s="24"/>
      <c r="I92" s="26"/>
      <c r="J92" s="24"/>
      <c r="K92" s="26"/>
      <c r="L92" s="24"/>
      <c r="M92" s="28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5" x14ac:dyDescent="0.35">
      <c r="A93" s="61">
        <v>2026</v>
      </c>
      <c r="B93" s="23" t="s">
        <v>112</v>
      </c>
      <c r="C93" s="24">
        <f>FinansFond!B11</f>
        <v>0</v>
      </c>
      <c r="D93" s="18">
        <f>C93-E93</f>
        <v>0</v>
      </c>
      <c r="E93" s="179">
        <v>0</v>
      </c>
      <c r="F93" s="24"/>
      <c r="G93" s="2"/>
      <c r="H93" s="24"/>
      <c r="I93" s="26"/>
      <c r="J93" s="24"/>
      <c r="K93" s="26"/>
      <c r="L93" s="24"/>
      <c r="M93" s="28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5" x14ac:dyDescent="0.35">
      <c r="A94" s="61">
        <v>2026</v>
      </c>
      <c r="B94" s="23" t="s">
        <v>113</v>
      </c>
      <c r="C94" s="24">
        <f>FinansFond!B12</f>
        <v>0</v>
      </c>
      <c r="D94" s="18">
        <f>C94-E94</f>
        <v>2999.7730648140423</v>
      </c>
      <c r="E94" s="313">
        <v>-2999.7730648140423</v>
      </c>
      <c r="F94" s="64"/>
      <c r="G94" s="65"/>
      <c r="H94" s="67"/>
      <c r="I94" s="65"/>
      <c r="J94" s="67"/>
      <c r="K94" s="65"/>
      <c r="L94" s="67"/>
      <c r="M94" s="68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5" x14ac:dyDescent="0.35">
      <c r="A95" s="61">
        <v>2029</v>
      </c>
      <c r="B95" s="23" t="s">
        <v>114</v>
      </c>
      <c r="C95" s="24">
        <f>FinansFond!B13</f>
        <v>0</v>
      </c>
      <c r="D95" s="18">
        <f>C95-E95</f>
        <v>0</v>
      </c>
      <c r="E95" s="179"/>
      <c r="F95" s="67"/>
      <c r="G95" s="65"/>
      <c r="H95" s="67"/>
      <c r="I95" s="65"/>
      <c r="J95" s="67"/>
      <c r="K95" s="65"/>
      <c r="L95" s="67"/>
      <c r="M95" s="68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5" x14ac:dyDescent="0.35">
      <c r="A96" s="61">
        <v>2030</v>
      </c>
      <c r="B96" s="23" t="s">
        <v>115</v>
      </c>
      <c r="C96" s="24">
        <f>FinansFond!B14</f>
        <v>0</v>
      </c>
      <c r="D96" s="18"/>
      <c r="E96" s="179">
        <v>0</v>
      </c>
      <c r="F96" s="67"/>
      <c r="G96" s="65"/>
      <c r="H96" s="67"/>
      <c r="I96" s="65"/>
      <c r="J96" s="67"/>
      <c r="K96" s="65"/>
      <c r="L96" s="67"/>
      <c r="M96" s="68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5" x14ac:dyDescent="0.35">
      <c r="A97" s="61">
        <v>2040</v>
      </c>
      <c r="B97" s="23" t="s">
        <v>78</v>
      </c>
      <c r="C97" s="24">
        <f>FinansFond!B15</f>
        <v>0</v>
      </c>
      <c r="D97" s="18"/>
      <c r="E97" s="179">
        <v>0</v>
      </c>
      <c r="F97" s="67"/>
      <c r="G97" s="65"/>
      <c r="H97" s="67"/>
      <c r="I97" s="65"/>
      <c r="J97" s="67"/>
      <c r="K97" s="65"/>
      <c r="L97" s="67"/>
      <c r="M97" s="68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s="301" customFormat="1" ht="14.5" x14ac:dyDescent="0.35">
      <c r="A98" s="61">
        <v>2050</v>
      </c>
      <c r="B98" s="23" t="s">
        <v>565</v>
      </c>
      <c r="C98" s="24"/>
      <c r="D98" s="18"/>
      <c r="E98" s="179"/>
      <c r="F98" s="67"/>
      <c r="G98" s="339"/>
      <c r="H98" s="67"/>
      <c r="I98" s="339"/>
      <c r="J98" s="67"/>
      <c r="K98" s="339"/>
      <c r="L98" s="67"/>
      <c r="M98" s="339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5" x14ac:dyDescent="0.35">
      <c r="A99" s="61"/>
      <c r="B99" s="45" t="s">
        <v>116</v>
      </c>
      <c r="C99" s="47">
        <f>-(C92+C93+C94+C95+C96+C97)</f>
        <v>-21650</v>
      </c>
      <c r="D99" s="47">
        <f t="shared" ref="D99" si="19">SUM(D92:D96)</f>
        <v>2999.7730648140423</v>
      </c>
      <c r="E99" s="314">
        <v>-18250.226935185958</v>
      </c>
      <c r="F99" s="28"/>
      <c r="G99" s="28"/>
      <c r="H99" s="2"/>
      <c r="I99" s="28"/>
      <c r="J99" s="2"/>
      <c r="K99" s="2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5" x14ac:dyDescent="0.35">
      <c r="A100" s="61">
        <v>8980</v>
      </c>
      <c r="B100" s="60" t="s">
        <v>81</v>
      </c>
      <c r="C100" s="70">
        <f t="shared" ref="C100:D100" si="20">C90+C99</f>
        <v>-205593.02253827825</v>
      </c>
      <c r="D100" s="70">
        <f t="shared" si="20"/>
        <v>-260948.13979230588</v>
      </c>
      <c r="E100" s="315">
        <v>-92465.125805000309</v>
      </c>
      <c r="F100" s="28"/>
      <c r="G100" s="28"/>
      <c r="H100" s="2"/>
      <c r="I100" s="26"/>
      <c r="J100" s="2"/>
      <c r="K100" s="2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5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5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5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5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5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5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5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5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5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5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5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5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5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5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5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5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5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5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5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5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5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5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5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5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5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5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5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5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5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5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5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5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5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5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5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5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5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5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5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5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5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5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5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5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5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5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5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5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5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5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5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5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5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5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5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5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5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5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5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5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5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5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5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5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5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5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5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5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5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5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5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5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5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5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5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5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5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5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5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5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5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5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5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5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5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5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5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5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5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5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5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5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5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5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5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5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5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5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5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5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5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5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5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5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5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5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5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5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5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5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5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5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5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5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5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5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5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5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5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5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5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5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5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5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5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5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5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5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5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5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5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5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5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5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5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5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5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5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5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5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5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5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5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5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5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5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5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5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5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5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5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5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5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5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5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5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5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5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5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5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5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5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5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5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5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5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5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5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5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5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5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5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5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5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5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5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5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5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5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5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5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5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5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5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5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5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5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5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5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5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5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5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5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5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5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5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5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5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5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5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5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5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5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5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5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5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5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5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5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5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5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5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5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5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5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5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5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5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5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5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5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5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5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5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5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5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5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5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5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5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5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5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5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5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5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5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5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5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5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5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5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5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5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5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5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5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5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5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5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5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5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5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5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5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5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5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5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5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5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5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5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5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5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5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5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5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5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5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5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5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5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5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5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5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5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5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5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5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5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5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5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5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5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5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5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5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5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5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5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5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5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5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5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5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5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5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5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5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5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5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5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5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5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5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5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5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5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5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5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5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5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5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5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5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5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5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5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5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5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5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5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5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5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5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5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5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5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5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5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5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5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5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5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5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5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5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5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5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5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5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5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5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5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5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5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5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5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5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5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5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5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5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5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5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5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5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5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5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5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5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5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5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5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5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5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5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5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5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5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5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5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5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5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5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5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5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5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5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5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5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5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5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5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5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5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5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5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5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5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5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5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5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5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5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5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5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5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5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5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5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5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5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5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5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5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5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5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5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5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5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5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5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5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5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5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5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5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5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5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5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5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5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5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5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5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5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5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5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5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5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5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5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5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5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5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5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5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5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5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5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5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5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5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5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5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5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5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5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5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5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5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5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5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5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5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5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5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5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5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5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5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5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5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5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5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5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5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5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5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5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5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5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5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5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5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5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5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5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5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5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5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5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5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5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5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5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5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5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5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5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5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5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5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5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5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5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5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5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5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5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5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5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5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5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5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5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5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5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5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5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5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5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5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5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5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5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5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5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5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5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5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5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5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5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5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5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5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5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5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5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5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5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5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5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5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5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5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5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5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5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5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5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5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5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5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5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5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5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5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5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5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5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5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5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5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5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5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5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5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5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5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5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5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5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5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5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5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5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5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5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5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5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5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5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5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5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5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5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5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5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5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5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5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5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5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5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5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5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5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5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5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5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5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5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5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5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5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5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5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5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5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5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5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5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5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5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5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5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5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5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5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5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5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5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5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5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5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5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5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5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5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5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5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5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5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5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5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5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5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5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5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5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5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5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5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5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5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5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5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5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5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5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5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5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5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5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5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5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5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5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5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5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5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5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5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5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5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5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5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5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5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5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5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5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5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5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5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5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5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5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5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5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5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5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5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5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5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5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5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5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5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5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5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5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5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5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5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5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5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5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5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5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5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5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5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5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5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5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5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5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5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4.5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4.5" x14ac:dyDescent="0.3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4.5" x14ac:dyDescent="0.3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4.5" x14ac:dyDescent="0.3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4.5" x14ac:dyDescent="0.3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4.5" x14ac:dyDescent="0.3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4.5" x14ac:dyDescent="0.3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4.5" x14ac:dyDescent="0.3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customSheetViews>
    <customSheetView guid="{106B7A88-9D1E-4D22-9DE1-7E44A908E830}" scale="110" showGridLines="0" fitToPage="1" hiddenColumns="1">
      <pane xSplit="2" ySplit="1" topLeftCell="C122" activePane="bottomRight" state="frozen"/>
      <selection pane="bottomRight" activeCell="P30" sqref="P30"/>
      <pageMargins left="0.7" right="0.7" top="0.75" bottom="0.75" header="0.3" footer="0.3"/>
      <pageSetup paperSize="9" fitToHeight="0" orientation="landscape" r:id="rId1"/>
    </customSheetView>
    <customSheetView guid="{CF50DB9B-0F8D-41A5-9576-F9345942CE97}" scale="120" showGridLines="0" hiddenColumns="1">
      <pane xSplit="2" ySplit="1" topLeftCell="C65" activePane="bottomRight" state="frozen"/>
      <selection pane="bottomRight" activeCell="C89" sqref="C89"/>
      <pageMargins left="0.7" right="0.7" top="0.75" bottom="0.75" header="0.3" footer="0.3"/>
    </customSheetView>
    <customSheetView guid="{B8CD8764-8103-4BA7-A294-F5FED5EA74ED}" scale="50" showGridLines="0">
      <pane xSplit="2" ySplit="1" topLeftCell="C68" activePane="bottomRight" state="frozen"/>
      <selection pane="bottomRight" activeCell="A55" sqref="A55:B55"/>
      <pageMargins left="0.7" right="0.7" top="0.75" bottom="0.75" header="0.3" footer="0.3"/>
      <pageSetup paperSize="9" orientation="portrait" r:id="rId2"/>
    </customSheetView>
    <customSheetView guid="{845F3A43-EF96-4057-9777-D2F2301CC149}" scale="110" showPageBreaks="1" showGridLines="0" fitToPage="1" hiddenColumns="1">
      <pane xSplit="2" ySplit="1" topLeftCell="C8" activePane="bottomRight" state="frozen"/>
      <selection pane="bottomRight" activeCell="P30" sqref="P30"/>
      <pageMargins left="0.7" right="0.7" top="0.75" bottom="0.75" header="0.3" footer="0.3"/>
      <pageSetup paperSize="9" fitToHeight="0" orientation="landscape" r:id="rId3"/>
    </customSheetView>
  </customSheetViews>
  <mergeCells count="4">
    <mergeCell ref="F1:G1"/>
    <mergeCell ref="H1:I1"/>
    <mergeCell ref="J1:K1"/>
    <mergeCell ref="L1:M1"/>
  </mergeCells>
  <pageMargins left="0.7" right="0.7" top="0.75" bottom="0.75" header="0.3" footer="0.3"/>
  <pageSetup paperSize="9" fitToHeight="0" orientation="landscape" r:id="rId4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004"/>
  <sheetViews>
    <sheetView showGridLines="0" topLeftCell="A43" zoomScale="110" zoomScaleNormal="110" workbookViewId="0">
      <selection activeCell="D46" sqref="D46"/>
    </sheetView>
  </sheetViews>
  <sheetFormatPr baseColWidth="10" defaultColWidth="17.26953125" defaultRowHeight="15" customHeight="1" x14ac:dyDescent="0.25"/>
  <cols>
    <col min="1" max="1" width="51.7265625" customWidth="1"/>
    <col min="2" max="2" width="23.7265625" customWidth="1"/>
    <col min="3" max="3" width="14.7265625" bestFit="1" customWidth="1"/>
    <col min="4" max="4" width="16.54296875" bestFit="1" customWidth="1"/>
    <col min="5" max="5" width="21.453125" customWidth="1"/>
    <col min="6" max="6" width="14.26953125" customWidth="1"/>
    <col min="7" max="16" width="12.54296875" customWidth="1"/>
    <col min="17" max="25" width="10" customWidth="1"/>
  </cols>
  <sheetData>
    <row r="1" spans="1:25" ht="14.5" x14ac:dyDescent="0.35">
      <c r="A1" s="1" t="s">
        <v>761</v>
      </c>
      <c r="B1" s="4"/>
      <c r="C1" s="4" t="s">
        <v>90</v>
      </c>
      <c r="D1" s="4"/>
      <c r="E1" s="4"/>
      <c r="F1" s="4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</row>
    <row r="2" spans="1:25" ht="14.5" x14ac:dyDescent="0.35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</row>
    <row r="3" spans="1:25" ht="14.5" x14ac:dyDescent="0.35">
      <c r="A3" s="39" t="s">
        <v>576</v>
      </c>
      <c r="B3" s="356">
        <f>'Oversikt Variabler'!E126</f>
        <v>1321000</v>
      </c>
      <c r="C3" s="296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</row>
    <row r="4" spans="1:25" ht="14.5" x14ac:dyDescent="0.35">
      <c r="A4" s="41" t="s">
        <v>577</v>
      </c>
      <c r="B4" s="356">
        <f>'Oversikt Variabler'!B128</f>
        <v>520000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</row>
    <row r="5" spans="1:25" ht="14.5" x14ac:dyDescent="0.35">
      <c r="A5" s="217" t="s">
        <v>138</v>
      </c>
      <c r="B5" s="356">
        <f>Program!H23</f>
        <v>358627.5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</row>
    <row r="6" spans="1:25" ht="14.5" x14ac:dyDescent="0.35">
      <c r="A6" s="217" t="s">
        <v>618</v>
      </c>
      <c r="B6" s="356">
        <f>'Oversikt Variabler'!B19*'Oversikt Variabler'!B3*20</f>
        <v>21369.3</v>
      </c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</row>
    <row r="7" spans="1:25" ht="14.5" x14ac:dyDescent="0.35">
      <c r="A7" s="217" t="s">
        <v>560</v>
      </c>
      <c r="B7" s="356">
        <v>140000</v>
      </c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</row>
    <row r="8" spans="1:25" ht="14.5" x14ac:dyDescent="0.35">
      <c r="A8" s="217" t="s">
        <v>216</v>
      </c>
      <c r="B8" s="356">
        <v>480000</v>
      </c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5" ht="14.5" x14ac:dyDescent="0.35">
      <c r="A9" s="217" t="s">
        <v>551</v>
      </c>
      <c r="B9" s="182">
        <f>Høstmøtet!K24</f>
        <v>236500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</row>
    <row r="10" spans="1:25" s="267" customFormat="1" ht="14.5" x14ac:dyDescent="0.35">
      <c r="A10" s="217" t="s">
        <v>552</v>
      </c>
      <c r="B10" s="182">
        <f>Landsmøtet!G29</f>
        <v>83740</v>
      </c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</row>
    <row r="11" spans="1:25" ht="14.5" x14ac:dyDescent="0.35">
      <c r="A11" s="217" t="s">
        <v>626</v>
      </c>
      <c r="B11" s="356">
        <f>'Oversikt Variabler'!B20*'Oversikt Variabler'!B3*21</f>
        <v>25620.735000000001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</row>
    <row r="12" spans="1:25" ht="14.5" x14ac:dyDescent="0.35">
      <c r="A12" s="217" t="s">
        <v>9</v>
      </c>
      <c r="B12" s="356">
        <f>3000*50</f>
        <v>150000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</row>
    <row r="13" spans="1:25" ht="14.5" x14ac:dyDescent="0.35">
      <c r="A13" s="217" t="s">
        <v>651</v>
      </c>
      <c r="B13" s="356">
        <f>Prosjekter!G6</f>
        <v>10000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</row>
    <row r="14" spans="1:25" s="592" customFormat="1" ht="14.5" x14ac:dyDescent="0.35">
      <c r="A14" s="217" t="s">
        <v>727</v>
      </c>
      <c r="B14" s="356">
        <f>Prosjekter!G8</f>
        <v>20000</v>
      </c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</row>
    <row r="15" spans="1:25" ht="14.5" x14ac:dyDescent="0.35">
      <c r="A15" s="217" t="s">
        <v>218</v>
      </c>
      <c r="B15" s="356">
        <v>515000</v>
      </c>
      <c r="C15" s="530"/>
      <c r="D15" s="15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</row>
    <row r="16" spans="1:25" ht="14.5" x14ac:dyDescent="0.35">
      <c r="A16" s="217" t="s">
        <v>219</v>
      </c>
      <c r="B16" s="182">
        <v>30000</v>
      </c>
      <c r="C16" s="16"/>
      <c r="D16" s="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</row>
    <row r="17" spans="1:25" ht="14.5" x14ac:dyDescent="0.35">
      <c r="A17" s="217" t="s">
        <v>221</v>
      </c>
      <c r="B17" s="182">
        <v>0</v>
      </c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1:25" s="351" customFormat="1" ht="14.5" x14ac:dyDescent="0.35">
      <c r="A18" s="217" t="s">
        <v>579</v>
      </c>
      <c r="B18" s="182">
        <v>0</v>
      </c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</row>
    <row r="19" spans="1:25" ht="14.5" x14ac:dyDescent="0.35">
      <c r="A19" s="217" t="s">
        <v>222</v>
      </c>
      <c r="B19" s="356">
        <v>2000</v>
      </c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</row>
    <row r="20" spans="1:25" ht="14.5" x14ac:dyDescent="0.35">
      <c r="A20" s="21" t="s">
        <v>223</v>
      </c>
      <c r="B20" s="183">
        <f>SUM(B3:B19)</f>
        <v>3913857.5349999997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</row>
    <row r="21" spans="1:25" ht="14.5" x14ac:dyDescent="0.35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</row>
    <row r="22" spans="1:25" ht="14.5" x14ac:dyDescent="0.35">
      <c r="A22" s="1" t="s">
        <v>760</v>
      </c>
      <c r="B22" s="4"/>
      <c r="C22" s="4"/>
      <c r="D22" s="4"/>
      <c r="E22" s="4"/>
      <c r="F22" s="4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</row>
    <row r="23" spans="1:25" ht="14.5" x14ac:dyDescent="0.35">
      <c r="A23" s="25" t="s">
        <v>224</v>
      </c>
      <c r="B23" s="27" t="s">
        <v>514</v>
      </c>
      <c r="C23" s="27" t="s">
        <v>226</v>
      </c>
      <c r="D23" s="27" t="s">
        <v>227</v>
      </c>
      <c r="E23" s="51" t="s">
        <v>228</v>
      </c>
      <c r="F23" s="38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</row>
    <row r="24" spans="1:25" ht="14.5" x14ac:dyDescent="0.35">
      <c r="A24" s="31" t="s">
        <v>229</v>
      </c>
      <c r="B24" s="51"/>
      <c r="C24" s="51"/>
      <c r="D24" s="30"/>
      <c r="E24" s="184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1:25" ht="14.5" x14ac:dyDescent="0.35">
      <c r="A25" s="217" t="s">
        <v>230</v>
      </c>
      <c r="B25" s="444">
        <v>15000</v>
      </c>
      <c r="C25" s="187"/>
      <c r="D25" s="444">
        <v>8500</v>
      </c>
      <c r="E25" s="187"/>
      <c r="F25" s="55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1:25" ht="14.5" x14ac:dyDescent="0.35">
      <c r="A26" s="217" t="s">
        <v>635</v>
      </c>
      <c r="B26" s="359">
        <f>5*1500</f>
        <v>7500</v>
      </c>
      <c r="C26" s="186"/>
      <c r="D26" s="359">
        <f>Landsmøtet!G30</f>
        <v>141780</v>
      </c>
      <c r="E26" s="186"/>
      <c r="F26" s="55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</row>
    <row r="27" spans="1:25" ht="14.5" x14ac:dyDescent="0.35">
      <c r="A27" s="217" t="s">
        <v>232</v>
      </c>
      <c r="B27" s="359">
        <v>9000</v>
      </c>
      <c r="C27" s="186"/>
      <c r="D27" s="359">
        <v>21000</v>
      </c>
      <c r="E27" s="443">
        <v>5000</v>
      </c>
      <c r="F27" s="55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</row>
    <row r="28" spans="1:25" ht="14.5" x14ac:dyDescent="0.35">
      <c r="A28" s="217" t="s">
        <v>233</v>
      </c>
      <c r="B28" s="359">
        <f>Høstmøtet!G24</f>
        <v>138000</v>
      </c>
      <c r="C28" s="186"/>
      <c r="D28" s="359">
        <f>Høstmøtet!E24</f>
        <v>267405</v>
      </c>
      <c r="E28" s="186"/>
      <c r="F28" s="55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</row>
    <row r="29" spans="1:25" ht="14.5" x14ac:dyDescent="0.35">
      <c r="A29" s="217" t="s">
        <v>634</v>
      </c>
      <c r="B29" s="359">
        <v>7500</v>
      </c>
      <c r="C29" s="186"/>
      <c r="D29" s="359">
        <v>21000</v>
      </c>
      <c r="E29" s="359">
        <v>5000</v>
      </c>
      <c r="F29" s="55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</row>
    <row r="30" spans="1:25" ht="14.5" x14ac:dyDescent="0.35">
      <c r="A30" s="217" t="s">
        <v>640</v>
      </c>
      <c r="B30" s="359">
        <v>30000</v>
      </c>
      <c r="C30" s="186"/>
      <c r="D30" s="186"/>
      <c r="E30" s="186"/>
      <c r="F30" s="55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1:25" s="450" customFormat="1" ht="14.5" x14ac:dyDescent="0.35">
      <c r="A31" s="217" t="s">
        <v>762</v>
      </c>
      <c r="B31" s="359">
        <v>30000</v>
      </c>
      <c r="C31" s="186"/>
      <c r="D31" s="186"/>
      <c r="E31" s="186"/>
      <c r="F31" s="55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1:25" s="251" customFormat="1" ht="14.5" x14ac:dyDescent="0.35">
      <c r="A32" s="217" t="s">
        <v>508</v>
      </c>
      <c r="B32" s="359">
        <v>10000</v>
      </c>
      <c r="C32" s="186"/>
      <c r="D32" s="186"/>
      <c r="E32" s="186"/>
      <c r="F32" s="55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</row>
    <row r="33" spans="1:25" s="481" customFormat="1" ht="14.5" x14ac:dyDescent="0.35">
      <c r="A33" s="217" t="s">
        <v>668</v>
      </c>
      <c r="B33" s="359">
        <v>40000</v>
      </c>
      <c r="C33" s="186"/>
      <c r="D33" s="186"/>
      <c r="E33" s="186"/>
      <c r="F33" s="55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</row>
    <row r="34" spans="1:25" ht="14.5" x14ac:dyDescent="0.35">
      <c r="A34" s="31" t="s">
        <v>236</v>
      </c>
      <c r="B34" s="188"/>
      <c r="C34" s="188"/>
      <c r="D34" s="188"/>
      <c r="E34" s="188"/>
      <c r="F34" s="55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</row>
    <row r="35" spans="1:25" s="270" customFormat="1" ht="14.5" x14ac:dyDescent="0.35">
      <c r="A35" s="280" t="s">
        <v>522</v>
      </c>
      <c r="B35" s="186"/>
      <c r="C35" s="359">
        <v>9000</v>
      </c>
      <c r="D35" s="186"/>
      <c r="E35" s="186"/>
      <c r="F35" s="55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</row>
    <row r="36" spans="1:25" s="282" customFormat="1" ht="14.5" x14ac:dyDescent="0.35">
      <c r="A36" s="280" t="s">
        <v>526</v>
      </c>
      <c r="B36" s="186"/>
      <c r="C36" s="359">
        <v>5000</v>
      </c>
      <c r="D36" s="186"/>
      <c r="E36" s="186"/>
      <c r="F36" s="55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</row>
    <row r="37" spans="1:25" ht="14.5" x14ac:dyDescent="0.35">
      <c r="A37" s="217" t="s">
        <v>523</v>
      </c>
      <c r="B37" s="186"/>
      <c r="C37" s="186"/>
      <c r="D37" s="186"/>
      <c r="E37" s="186"/>
      <c r="F37" s="55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</row>
    <row r="38" spans="1:25" ht="14.5" x14ac:dyDescent="0.35">
      <c r="A38" s="217" t="s">
        <v>237</v>
      </c>
      <c r="B38" s="186">
        <v>0</v>
      </c>
      <c r="C38" s="359">
        <v>15000</v>
      </c>
      <c r="D38" s="186">
        <v>0</v>
      </c>
      <c r="E38" s="186">
        <v>0</v>
      </c>
      <c r="F38" s="55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</row>
    <row r="39" spans="1:25" ht="14.5" x14ac:dyDescent="0.35">
      <c r="A39" s="217" t="s">
        <v>238</v>
      </c>
      <c r="B39" s="186"/>
      <c r="C39" s="359">
        <v>10000</v>
      </c>
      <c r="D39" s="186"/>
      <c r="E39" s="186"/>
      <c r="F39" s="55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</row>
    <row r="40" spans="1:25" ht="14.5" x14ac:dyDescent="0.35">
      <c r="A40" s="217" t="s">
        <v>239</v>
      </c>
      <c r="B40" s="189"/>
      <c r="C40" s="445">
        <v>5000</v>
      </c>
      <c r="D40" s="189"/>
      <c r="E40" s="189"/>
      <c r="F40" s="55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</row>
    <row r="41" spans="1:25" ht="14.5" x14ac:dyDescent="0.35">
      <c r="A41" s="38" t="s">
        <v>240</v>
      </c>
      <c r="B41" s="52">
        <f t="shared" ref="B41:E41" si="0">SUM(B25:B40)</f>
        <v>287000</v>
      </c>
      <c r="C41" s="52">
        <f t="shared" si="0"/>
        <v>44000</v>
      </c>
      <c r="D41" s="52">
        <f t="shared" si="0"/>
        <v>459685</v>
      </c>
      <c r="E41" s="52">
        <f t="shared" si="0"/>
        <v>10000</v>
      </c>
      <c r="F41" s="40">
        <f>SUM(B41:E41)</f>
        <v>800685</v>
      </c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</row>
    <row r="42" spans="1:25" ht="14.5" x14ac:dyDescent="0.3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</row>
    <row r="43" spans="1:25" ht="14.5" x14ac:dyDescent="0.35">
      <c r="A43" s="93" t="s">
        <v>241</v>
      </c>
      <c r="B43" s="43" t="s">
        <v>242</v>
      </c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</row>
    <row r="44" spans="1:25" ht="14.5" x14ac:dyDescent="0.35">
      <c r="A44" s="210" t="s">
        <v>219</v>
      </c>
      <c r="B44" s="446">
        <v>80000</v>
      </c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</row>
    <row r="45" spans="1:25" ht="14.5" x14ac:dyDescent="0.35">
      <c r="A45" s="271" t="s">
        <v>220</v>
      </c>
      <c r="B45" s="260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</row>
    <row r="46" spans="1:25" ht="14.5" x14ac:dyDescent="0.35">
      <c r="A46" s="271" t="s">
        <v>564</v>
      </c>
      <c r="B46" s="354">
        <v>70000</v>
      </c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</row>
    <row r="47" spans="1:25" s="301" customFormat="1" ht="14.5" x14ac:dyDescent="0.35">
      <c r="A47" s="271" t="s">
        <v>563</v>
      </c>
      <c r="B47" s="355">
        <v>100000</v>
      </c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</row>
    <row r="48" spans="1:25" ht="14.5" x14ac:dyDescent="0.35">
      <c r="A48" s="271" t="s">
        <v>243</v>
      </c>
      <c r="B48" s="446">
        <v>22500</v>
      </c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</row>
    <row r="49" spans="1:25" s="592" customFormat="1" ht="14.5" x14ac:dyDescent="0.35">
      <c r="A49" s="271" t="s">
        <v>261</v>
      </c>
      <c r="B49" s="446">
        <f>'Oversikt Variabler'!B19*'Oversikt Variabler'!B4</f>
        <v>1068.4649999999999</v>
      </c>
      <c r="C49" s="592" t="s">
        <v>262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</row>
    <row r="50" spans="1:25" s="592" customFormat="1" ht="14.5" x14ac:dyDescent="0.35">
      <c r="A50" s="271" t="s">
        <v>263</v>
      </c>
      <c r="B50" s="446">
        <f>'Oversikt Variabler'!B19*20*'Oversikt Variabler'!B4</f>
        <v>21369.3</v>
      </c>
      <c r="C50" s="592" t="s">
        <v>262</v>
      </c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</row>
    <row r="51" spans="1:25" s="592" customFormat="1" ht="14.5" x14ac:dyDescent="0.35">
      <c r="A51" s="271" t="s">
        <v>719</v>
      </c>
      <c r="B51" s="446">
        <f>(('Oversikt Variabler'!B20*20)+('Oversikt Variabler'!B21))*'Oversikt Variabler'!B4</f>
        <v>25010.660000000003</v>
      </c>
      <c r="C51" s="592" t="s">
        <v>262</v>
      </c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</row>
    <row r="52" spans="1:25" ht="14.5" x14ac:dyDescent="0.35">
      <c r="A52" s="271" t="s">
        <v>244</v>
      </c>
      <c r="B52" s="446">
        <v>47000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</row>
    <row r="53" spans="1:25" s="347" customFormat="1" ht="14.5" x14ac:dyDescent="0.35">
      <c r="A53" s="271" t="s">
        <v>636</v>
      </c>
      <c r="B53" s="446">
        <v>25000</v>
      </c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</row>
    <row r="54" spans="1:25" ht="14.5" x14ac:dyDescent="0.35">
      <c r="A54" s="271" t="s">
        <v>512</v>
      </c>
      <c r="B54" s="446">
        <f>310000-Program!H22</f>
        <v>101800</v>
      </c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</row>
    <row r="55" spans="1:25" ht="14.5" x14ac:dyDescent="0.35">
      <c r="A55" s="271" t="s">
        <v>513</v>
      </c>
      <c r="B55" s="446">
        <v>20000</v>
      </c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</row>
    <row r="56" spans="1:25" ht="14.5" x14ac:dyDescent="0.35">
      <c r="A56" s="271" t="s">
        <v>216</v>
      </c>
      <c r="B56" s="446">
        <f>B8*0.95</f>
        <v>456000</v>
      </c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</row>
    <row r="57" spans="1:25" ht="14.5" x14ac:dyDescent="0.35">
      <c r="A57" s="271" t="s">
        <v>246</v>
      </c>
      <c r="B57" s="260">
        <v>0</v>
      </c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</row>
    <row r="58" spans="1:25" ht="14.5" x14ac:dyDescent="0.35">
      <c r="A58" s="271" t="s">
        <v>247</v>
      </c>
      <c r="B58" s="446">
        <f>B15*0.63</f>
        <v>324450</v>
      </c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</row>
    <row r="59" spans="1:25" ht="14.5" x14ac:dyDescent="0.35">
      <c r="A59" s="271" t="s">
        <v>97</v>
      </c>
      <c r="B59" s="446">
        <f>B12</f>
        <v>150000</v>
      </c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</row>
    <row r="60" spans="1:25" ht="14.5" x14ac:dyDescent="0.35">
      <c r="A60" s="271" t="s">
        <v>248</v>
      </c>
      <c r="B60" s="260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</row>
    <row r="61" spans="1:25" ht="14.5" x14ac:dyDescent="0.35">
      <c r="A61" s="271" t="s">
        <v>249</v>
      </c>
      <c r="B61" s="260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</row>
    <row r="62" spans="1:25" ht="14.5" x14ac:dyDescent="0.35">
      <c r="A62" s="627" t="s">
        <v>250</v>
      </c>
      <c r="B62" s="260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</row>
    <row r="63" spans="1:25" ht="14.5" x14ac:dyDescent="0.35">
      <c r="A63" s="46" t="s">
        <v>60</v>
      </c>
      <c r="B63" s="188">
        <v>15000</v>
      </c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</row>
    <row r="64" spans="1:25" ht="14.5" x14ac:dyDescent="0.35">
      <c r="A64" s="29" t="s">
        <v>251</v>
      </c>
      <c r="B64" s="188">
        <f>B19</f>
        <v>2000</v>
      </c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</row>
    <row r="65" spans="1:25" ht="14.5" x14ac:dyDescent="0.35">
      <c r="A65" s="29" t="s">
        <v>240</v>
      </c>
      <c r="B65" s="185">
        <f>SUM(B44:B64)</f>
        <v>1461198.425</v>
      </c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</row>
    <row r="66" spans="1:25" ht="14.5" x14ac:dyDescent="0.35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</row>
    <row r="67" spans="1:25" ht="14.5" x14ac:dyDescent="0.35">
      <c r="A67" s="42" t="s">
        <v>252</v>
      </c>
      <c r="B67" s="43" t="s">
        <v>242</v>
      </c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</row>
    <row r="68" spans="1:25" ht="14.5" x14ac:dyDescent="0.35">
      <c r="A68" s="32" t="s">
        <v>253</v>
      </c>
      <c r="B68" s="359">
        <f>37521.51*1.04*11</f>
        <v>429246.0744000001</v>
      </c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</row>
    <row r="69" spans="1:25" s="254" customFormat="1" ht="14.5" x14ac:dyDescent="0.35">
      <c r="A69" s="32" t="s">
        <v>509</v>
      </c>
      <c r="B69" s="285">
        <v>0</v>
      </c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</row>
    <row r="70" spans="1:25" ht="14.5" x14ac:dyDescent="0.35">
      <c r="A70" s="32" t="s">
        <v>29</v>
      </c>
      <c r="B70" s="359">
        <f>(B68*0.05)+(B83*0.05)</f>
        <v>42005.638960000011</v>
      </c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</row>
    <row r="71" spans="1:25" ht="14.5" x14ac:dyDescent="0.35">
      <c r="A71" s="32" t="s">
        <v>254</v>
      </c>
      <c r="B71" s="359">
        <f>(B68*0.12)+(B83*0.12)</f>
        <v>100813.53350399999</v>
      </c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</row>
    <row r="72" spans="1:25" ht="14.5" x14ac:dyDescent="0.35">
      <c r="A72" s="32" t="s">
        <v>255</v>
      </c>
      <c r="B72" s="359">
        <f>(B68+B83+B70)*0.141</f>
        <v>124378.69696055999</v>
      </c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</row>
    <row r="73" spans="1:25" ht="14.5" x14ac:dyDescent="0.35">
      <c r="A73" s="23" t="s">
        <v>99</v>
      </c>
      <c r="B73" s="359">
        <f>B71*0.141</f>
        <v>14214.708224063997</v>
      </c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</row>
    <row r="74" spans="1:25" ht="14.5" x14ac:dyDescent="0.35">
      <c r="A74" s="32" t="s">
        <v>256</v>
      </c>
      <c r="B74" s="359">
        <v>9000</v>
      </c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</row>
    <row r="75" spans="1:25" s="481" customFormat="1" ht="14.5" x14ac:dyDescent="0.35">
      <c r="A75" s="32" t="s">
        <v>669</v>
      </c>
      <c r="B75" s="359">
        <v>10000</v>
      </c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</row>
    <row r="76" spans="1:25" ht="14.5" x14ac:dyDescent="0.35">
      <c r="A76" s="32" t="s">
        <v>40</v>
      </c>
      <c r="B76" s="359">
        <v>10000</v>
      </c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</row>
    <row r="77" spans="1:25" ht="14.5" x14ac:dyDescent="0.35">
      <c r="A77" s="32" t="s">
        <v>257</v>
      </c>
      <c r="B77" s="359">
        <v>2000</v>
      </c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</row>
    <row r="78" spans="1:25" ht="14.5" x14ac:dyDescent="0.35">
      <c r="A78" s="32" t="s">
        <v>33</v>
      </c>
      <c r="B78" s="359">
        <v>200000</v>
      </c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</row>
    <row r="79" spans="1:25" ht="14.5" x14ac:dyDescent="0.35">
      <c r="A79" s="32" t="s">
        <v>258</v>
      </c>
      <c r="B79" s="359">
        <f>15000</f>
        <v>15000</v>
      </c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</row>
    <row r="80" spans="1:25" ht="14.5" x14ac:dyDescent="0.35">
      <c r="A80" s="32" t="s">
        <v>259</v>
      </c>
      <c r="B80" s="359">
        <v>50000</v>
      </c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</row>
    <row r="81" spans="1:25" ht="14.5" x14ac:dyDescent="0.35">
      <c r="A81" s="32" t="s">
        <v>47</v>
      </c>
      <c r="B81" s="359">
        <v>45000</v>
      </c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</row>
    <row r="82" spans="1:25" ht="14.5" x14ac:dyDescent="0.35">
      <c r="A82" s="32" t="s">
        <v>46</v>
      </c>
      <c r="B82" s="359">
        <v>10000</v>
      </c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</row>
    <row r="83" spans="1:25" ht="14.5" x14ac:dyDescent="0.35">
      <c r="A83" s="32" t="s">
        <v>632</v>
      </c>
      <c r="B83" s="359">
        <f>34166.67*1.04*11+20000</f>
        <v>410866.70479999995</v>
      </c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</row>
    <row r="84" spans="1:25" ht="14.5" x14ac:dyDescent="0.35">
      <c r="A84" s="32" t="s">
        <v>28</v>
      </c>
      <c r="B84" s="359">
        <f>1500*2</f>
        <v>3000</v>
      </c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</row>
    <row r="85" spans="1:25" ht="14.5" x14ac:dyDescent="0.35">
      <c r="A85" s="32" t="s">
        <v>48</v>
      </c>
      <c r="B85" s="359">
        <f>20000</f>
        <v>20000</v>
      </c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</row>
    <row r="86" spans="1:25" ht="14.5" x14ac:dyDescent="0.35">
      <c r="A86" s="32" t="s">
        <v>260</v>
      </c>
      <c r="B86" s="359">
        <v>0</v>
      </c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</row>
    <row r="87" spans="1:25" s="430" customFormat="1" ht="14.5" x14ac:dyDescent="0.35">
      <c r="A87" s="32" t="s">
        <v>633</v>
      </c>
      <c r="B87" s="359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</row>
    <row r="88" spans="1:25" ht="12.75" customHeight="1" x14ac:dyDescent="0.35"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</row>
    <row r="89" spans="1:25" ht="14.5" x14ac:dyDescent="0.35"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</row>
    <row r="90" spans="1:25" ht="14.5" x14ac:dyDescent="0.35">
      <c r="A90" s="29" t="s">
        <v>240</v>
      </c>
      <c r="B90" s="49">
        <f>SUM(B68:B89)</f>
        <v>1495525.3568486241</v>
      </c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</row>
    <row r="91" spans="1:25" ht="14.5" x14ac:dyDescent="0.35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</row>
    <row r="92" spans="1:25" ht="14.5" x14ac:dyDescent="0.35">
      <c r="A92" s="42" t="s">
        <v>264</v>
      </c>
      <c r="B92" s="190" t="s">
        <v>225</v>
      </c>
      <c r="C92" s="191" t="s">
        <v>226</v>
      </c>
      <c r="D92" s="191" t="s">
        <v>227</v>
      </c>
      <c r="E92" s="191" t="s">
        <v>228</v>
      </c>
      <c r="F92" s="192" t="s">
        <v>240</v>
      </c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</row>
    <row r="93" spans="1:25" ht="14.5" x14ac:dyDescent="0.35">
      <c r="A93" s="30" t="s">
        <v>631</v>
      </c>
      <c r="B93" s="186"/>
      <c r="C93" s="186"/>
      <c r="D93" s="186"/>
      <c r="E93" s="186">
        <v>10000</v>
      </c>
      <c r="F93" s="52">
        <f t="shared" ref="F93:F98" si="1">SUM(B93:E93)</f>
        <v>10000</v>
      </c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</row>
    <row r="94" spans="1:25" ht="14.5" x14ac:dyDescent="0.35">
      <c r="A94" s="32" t="s">
        <v>717</v>
      </c>
      <c r="B94" s="186"/>
      <c r="C94" s="186"/>
      <c r="D94" s="186"/>
      <c r="E94" s="186">
        <v>10000</v>
      </c>
      <c r="F94" s="52">
        <f t="shared" si="1"/>
        <v>10000</v>
      </c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</row>
    <row r="95" spans="1:25" ht="14.5" x14ac:dyDescent="0.35">
      <c r="A95" s="32" t="s">
        <v>265</v>
      </c>
      <c r="B95" s="186"/>
      <c r="C95" s="186"/>
      <c r="D95" s="186"/>
      <c r="E95" s="186"/>
      <c r="F95" s="52">
        <f t="shared" si="1"/>
        <v>0</v>
      </c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</row>
    <row r="96" spans="1:25" ht="14.5" x14ac:dyDescent="0.35">
      <c r="A96" s="32" t="s">
        <v>638</v>
      </c>
      <c r="B96" s="186"/>
      <c r="C96" s="186">
        <v>25000</v>
      </c>
      <c r="D96" s="186"/>
      <c r="E96" s="186">
        <v>25000</v>
      </c>
      <c r="F96" s="52">
        <f t="shared" si="1"/>
        <v>50000</v>
      </c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</row>
    <row r="97" spans="1:25" ht="14.5" x14ac:dyDescent="0.35">
      <c r="A97" s="32" t="s">
        <v>266</v>
      </c>
      <c r="B97" s="186"/>
      <c r="C97" s="186"/>
      <c r="D97" s="186"/>
      <c r="E97" s="186"/>
      <c r="F97" s="52">
        <f t="shared" si="1"/>
        <v>0</v>
      </c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</row>
    <row r="98" spans="1:25" ht="14.5" x14ac:dyDescent="0.35">
      <c r="A98" s="32"/>
      <c r="B98" s="186"/>
      <c r="C98" s="186"/>
      <c r="D98" s="186"/>
      <c r="E98" s="186"/>
      <c r="F98" s="52">
        <f t="shared" si="1"/>
        <v>0</v>
      </c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</row>
    <row r="99" spans="1:25" ht="14.5" x14ac:dyDescent="0.35">
      <c r="A99" s="29" t="s">
        <v>240</v>
      </c>
      <c r="B99" s="53">
        <f t="shared" ref="B99:F99" si="2">SUM(B93:B98)</f>
        <v>0</v>
      </c>
      <c r="C99" s="53">
        <f t="shared" si="2"/>
        <v>25000</v>
      </c>
      <c r="D99" s="53">
        <f t="shared" si="2"/>
        <v>0</v>
      </c>
      <c r="E99" s="53">
        <f t="shared" si="2"/>
        <v>45000</v>
      </c>
      <c r="F99" s="54">
        <f t="shared" si="2"/>
        <v>70000</v>
      </c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</row>
    <row r="100" spans="1:25" ht="14.5" x14ac:dyDescent="0.35">
      <c r="A100" s="38"/>
      <c r="B100" s="38"/>
      <c r="C100" s="38"/>
      <c r="D100" s="38"/>
      <c r="E100" s="38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</row>
    <row r="101" spans="1:25" ht="14.5" x14ac:dyDescent="0.35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</row>
    <row r="102" spans="1:25" ht="14.5" x14ac:dyDescent="0.35">
      <c r="A102" s="14" t="s">
        <v>267</v>
      </c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</row>
    <row r="103" spans="1:25" ht="14.5" x14ac:dyDescent="0.35">
      <c r="A103" s="217" t="s">
        <v>268</v>
      </c>
      <c r="B103" s="55">
        <f>F41</f>
        <v>800685</v>
      </c>
      <c r="C103" s="217"/>
      <c r="D103" s="55">
        <f>B107-Budsjett_enkel!F83</f>
        <v>0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</row>
    <row r="104" spans="1:25" ht="14.5" x14ac:dyDescent="0.35">
      <c r="A104" s="217" t="s">
        <v>269</v>
      </c>
      <c r="B104" s="55">
        <f>B65</f>
        <v>1461198.425</v>
      </c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</row>
    <row r="105" spans="1:25" ht="14.5" x14ac:dyDescent="0.35">
      <c r="A105" s="217" t="s">
        <v>270</v>
      </c>
      <c r="B105" s="55">
        <f>B90</f>
        <v>1495525.3568486241</v>
      </c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</row>
    <row r="106" spans="1:25" ht="14.5" x14ac:dyDescent="0.35">
      <c r="A106" s="217" t="s">
        <v>271</v>
      </c>
      <c r="B106" s="55">
        <f>F99</f>
        <v>70000</v>
      </c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</row>
    <row r="107" spans="1:25" ht="14.5" x14ac:dyDescent="0.35">
      <c r="A107" s="38" t="s">
        <v>272</v>
      </c>
      <c r="B107" s="58">
        <f>SUM(B103:B106)</f>
        <v>3827408.7818486239</v>
      </c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</row>
    <row r="108" spans="1:25" ht="14.5" x14ac:dyDescent="0.35">
      <c r="A108" s="217" t="s">
        <v>650</v>
      </c>
      <c r="B108" s="296">
        <f>Budsjett_enkel!F83</f>
        <v>3827408.7818486243</v>
      </c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</row>
    <row r="109" spans="1:25" ht="14.5" x14ac:dyDescent="0.35">
      <c r="A109" s="60" t="s">
        <v>65</v>
      </c>
      <c r="B109" s="6">
        <f>B20-B107</f>
        <v>86448.7531513758</v>
      </c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</row>
    <row r="110" spans="1:25" ht="14.5" x14ac:dyDescent="0.35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</row>
    <row r="111" spans="1:25" ht="14.5" x14ac:dyDescent="0.35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</row>
    <row r="112" spans="1:25" ht="14.5" x14ac:dyDescent="0.35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</row>
    <row r="113" spans="1:25" ht="14.5" x14ac:dyDescent="0.35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</row>
    <row r="114" spans="1:25" ht="14.5" x14ac:dyDescent="0.35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</row>
    <row r="115" spans="1:25" ht="14.5" x14ac:dyDescent="0.35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</row>
    <row r="116" spans="1:25" ht="14.5" x14ac:dyDescent="0.35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</row>
    <row r="117" spans="1:25" ht="14.5" x14ac:dyDescent="0.35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</row>
    <row r="118" spans="1:25" ht="14.5" x14ac:dyDescent="0.35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</row>
    <row r="119" spans="1:25" ht="14.5" x14ac:dyDescent="0.35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</row>
    <row r="120" spans="1:25" ht="14.5" x14ac:dyDescent="0.35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</row>
    <row r="121" spans="1:25" ht="14.5" x14ac:dyDescent="0.35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</row>
    <row r="122" spans="1:25" ht="14.5" x14ac:dyDescent="0.35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</row>
    <row r="123" spans="1:25" ht="14.5" x14ac:dyDescent="0.35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</row>
    <row r="124" spans="1:25" ht="14.5" x14ac:dyDescent="0.35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</row>
    <row r="125" spans="1:25" ht="14.5" x14ac:dyDescent="0.35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</row>
    <row r="126" spans="1:25" ht="14.5" x14ac:dyDescent="0.35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</row>
    <row r="127" spans="1:25" ht="14.5" x14ac:dyDescent="0.35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</row>
    <row r="128" spans="1:25" ht="14.5" x14ac:dyDescent="0.35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</row>
    <row r="129" spans="1:25" ht="14.5" x14ac:dyDescent="0.35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</row>
    <row r="130" spans="1:25" ht="14.5" x14ac:dyDescent="0.35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</row>
    <row r="131" spans="1:25" ht="14.5" x14ac:dyDescent="0.35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</row>
    <row r="132" spans="1:25" ht="14.5" x14ac:dyDescent="0.35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</row>
    <row r="133" spans="1:25" ht="14.5" x14ac:dyDescent="0.35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</row>
    <row r="134" spans="1:25" ht="14.5" x14ac:dyDescent="0.35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</row>
    <row r="135" spans="1:25" ht="14.5" x14ac:dyDescent="0.35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</row>
    <row r="136" spans="1:25" ht="14.5" x14ac:dyDescent="0.35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</row>
    <row r="137" spans="1:25" ht="14.5" x14ac:dyDescent="0.35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</row>
    <row r="138" spans="1:25" ht="14.5" x14ac:dyDescent="0.35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</row>
    <row r="139" spans="1:25" ht="14.5" x14ac:dyDescent="0.35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</row>
    <row r="140" spans="1:25" ht="14.5" x14ac:dyDescent="0.35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</row>
    <row r="141" spans="1:25" ht="14.5" x14ac:dyDescent="0.35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</row>
    <row r="142" spans="1:25" ht="14.5" x14ac:dyDescent="0.35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</row>
    <row r="143" spans="1:25" ht="14.5" x14ac:dyDescent="0.35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</row>
    <row r="144" spans="1:25" ht="14.5" x14ac:dyDescent="0.35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</row>
    <row r="145" spans="1:25" ht="14.5" x14ac:dyDescent="0.35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</row>
    <row r="146" spans="1:25" ht="14.5" x14ac:dyDescent="0.35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</row>
    <row r="147" spans="1:25" ht="14.5" x14ac:dyDescent="0.35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</row>
    <row r="148" spans="1:25" ht="14.5" x14ac:dyDescent="0.35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</row>
    <row r="149" spans="1:25" ht="14.5" x14ac:dyDescent="0.35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</row>
    <row r="150" spans="1:25" ht="14.5" x14ac:dyDescent="0.35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</row>
    <row r="151" spans="1:25" ht="14.5" x14ac:dyDescent="0.35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</row>
    <row r="152" spans="1:25" ht="14.5" x14ac:dyDescent="0.35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</row>
    <row r="153" spans="1:25" ht="14.5" x14ac:dyDescent="0.35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</row>
    <row r="154" spans="1:25" ht="14.5" x14ac:dyDescent="0.35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</row>
    <row r="155" spans="1:25" ht="14.5" x14ac:dyDescent="0.35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</row>
    <row r="156" spans="1:25" ht="14.5" x14ac:dyDescent="0.35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</row>
    <row r="157" spans="1:25" ht="14.5" x14ac:dyDescent="0.35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</row>
    <row r="158" spans="1:25" ht="14.5" x14ac:dyDescent="0.35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</row>
    <row r="159" spans="1:25" ht="14.5" x14ac:dyDescent="0.35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</row>
    <row r="160" spans="1:25" ht="14.5" x14ac:dyDescent="0.35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</row>
    <row r="161" spans="1:25" ht="14.5" x14ac:dyDescent="0.35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</row>
    <row r="162" spans="1:25" ht="14.5" x14ac:dyDescent="0.35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</row>
    <row r="163" spans="1:25" ht="14.5" x14ac:dyDescent="0.35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</row>
    <row r="164" spans="1:25" ht="14.5" x14ac:dyDescent="0.35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</row>
    <row r="165" spans="1:25" ht="14.5" x14ac:dyDescent="0.35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</row>
    <row r="166" spans="1:25" ht="14.5" x14ac:dyDescent="0.35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</row>
    <row r="167" spans="1:25" ht="14.5" x14ac:dyDescent="0.35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</row>
    <row r="168" spans="1:25" ht="14.5" x14ac:dyDescent="0.35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</row>
    <row r="169" spans="1:25" ht="14.5" x14ac:dyDescent="0.35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</row>
    <row r="170" spans="1:25" ht="14.5" x14ac:dyDescent="0.35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</row>
    <row r="171" spans="1:25" ht="14.5" x14ac:dyDescent="0.35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</row>
    <row r="172" spans="1:25" ht="14.5" x14ac:dyDescent="0.35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</row>
    <row r="173" spans="1:25" ht="14.5" x14ac:dyDescent="0.35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</row>
    <row r="174" spans="1:25" ht="14.5" x14ac:dyDescent="0.35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</row>
    <row r="175" spans="1:25" ht="14.5" x14ac:dyDescent="0.35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</row>
    <row r="176" spans="1:25" ht="14.5" x14ac:dyDescent="0.35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</row>
    <row r="177" spans="1:25" ht="14.5" x14ac:dyDescent="0.35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</row>
    <row r="178" spans="1:25" ht="14.5" x14ac:dyDescent="0.35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</row>
    <row r="179" spans="1:25" ht="14.5" x14ac:dyDescent="0.35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</row>
    <row r="180" spans="1:25" ht="14.5" x14ac:dyDescent="0.35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</row>
    <row r="181" spans="1:25" ht="14.5" x14ac:dyDescent="0.35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</row>
    <row r="182" spans="1:25" ht="14.5" x14ac:dyDescent="0.35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</row>
    <row r="183" spans="1:25" ht="14.5" x14ac:dyDescent="0.35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</row>
    <row r="184" spans="1:25" ht="14.5" x14ac:dyDescent="0.35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</row>
    <row r="185" spans="1:25" ht="14.5" x14ac:dyDescent="0.35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</row>
    <row r="186" spans="1:25" ht="14.5" x14ac:dyDescent="0.35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</row>
    <row r="187" spans="1:25" ht="14.5" x14ac:dyDescent="0.35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</row>
    <row r="188" spans="1:25" ht="14.5" x14ac:dyDescent="0.35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</row>
    <row r="189" spans="1:25" ht="14.5" x14ac:dyDescent="0.35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</row>
    <row r="190" spans="1:25" ht="14.5" x14ac:dyDescent="0.35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</row>
    <row r="191" spans="1:25" ht="14.5" x14ac:dyDescent="0.35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</row>
    <row r="192" spans="1:25" ht="14.5" x14ac:dyDescent="0.35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</row>
    <row r="193" spans="1:25" ht="14.5" x14ac:dyDescent="0.35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</row>
    <row r="194" spans="1:25" ht="14.5" x14ac:dyDescent="0.35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</row>
    <row r="195" spans="1:25" ht="14.5" x14ac:dyDescent="0.35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</row>
    <row r="196" spans="1:25" ht="14.5" x14ac:dyDescent="0.35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</row>
    <row r="197" spans="1:25" ht="14.5" x14ac:dyDescent="0.35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</row>
    <row r="198" spans="1:25" ht="14.5" x14ac:dyDescent="0.35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</row>
    <row r="199" spans="1:25" ht="14.5" x14ac:dyDescent="0.35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</row>
    <row r="200" spans="1:25" ht="14.5" x14ac:dyDescent="0.35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</row>
    <row r="201" spans="1:25" ht="14.5" x14ac:dyDescent="0.35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</row>
    <row r="202" spans="1:25" ht="14.5" x14ac:dyDescent="0.35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</row>
    <row r="203" spans="1:25" ht="14.5" x14ac:dyDescent="0.35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</row>
    <row r="204" spans="1:25" ht="14.5" x14ac:dyDescent="0.35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</row>
    <row r="205" spans="1:25" ht="14.5" x14ac:dyDescent="0.35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</row>
    <row r="206" spans="1:25" ht="14.5" x14ac:dyDescent="0.35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</row>
    <row r="207" spans="1:25" ht="14.5" x14ac:dyDescent="0.35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</row>
    <row r="208" spans="1:25" ht="14.5" x14ac:dyDescent="0.35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</row>
    <row r="209" spans="1:25" ht="14.5" x14ac:dyDescent="0.35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</row>
    <row r="210" spans="1:25" ht="14.5" x14ac:dyDescent="0.35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</row>
    <row r="211" spans="1:25" ht="14.5" x14ac:dyDescent="0.35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</row>
    <row r="212" spans="1:25" ht="14.5" x14ac:dyDescent="0.35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</row>
    <row r="213" spans="1:25" ht="14.5" x14ac:dyDescent="0.35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</row>
    <row r="214" spans="1:25" ht="14.5" x14ac:dyDescent="0.35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</row>
    <row r="215" spans="1:25" ht="14.5" x14ac:dyDescent="0.35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</row>
    <row r="216" spans="1:25" ht="14.5" x14ac:dyDescent="0.35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</row>
    <row r="217" spans="1:25" ht="14.5" x14ac:dyDescent="0.35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</row>
    <row r="218" spans="1:25" ht="14.5" x14ac:dyDescent="0.35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</row>
    <row r="219" spans="1:25" ht="14.5" x14ac:dyDescent="0.35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</row>
    <row r="220" spans="1:25" ht="14.5" x14ac:dyDescent="0.35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</row>
    <row r="221" spans="1:25" ht="14.5" x14ac:dyDescent="0.35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</row>
    <row r="222" spans="1:25" ht="14.5" x14ac:dyDescent="0.35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</row>
    <row r="223" spans="1:25" ht="14.5" x14ac:dyDescent="0.35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</row>
    <row r="224" spans="1:25" ht="14.5" x14ac:dyDescent="0.35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</row>
    <row r="225" spans="1:25" ht="14.5" x14ac:dyDescent="0.35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</row>
    <row r="226" spans="1:25" ht="14.5" x14ac:dyDescent="0.35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</row>
    <row r="227" spans="1:25" ht="14.5" x14ac:dyDescent="0.35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</row>
    <row r="228" spans="1:25" ht="14.5" x14ac:dyDescent="0.35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</row>
    <row r="229" spans="1:25" ht="14.5" x14ac:dyDescent="0.35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</row>
    <row r="230" spans="1:25" ht="14.5" x14ac:dyDescent="0.35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</row>
    <row r="231" spans="1:25" ht="14.5" x14ac:dyDescent="0.35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</row>
    <row r="232" spans="1:25" ht="14.5" x14ac:dyDescent="0.35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</row>
    <row r="233" spans="1:25" ht="14.5" x14ac:dyDescent="0.35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</row>
    <row r="234" spans="1:25" ht="14.5" x14ac:dyDescent="0.35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</row>
    <row r="235" spans="1:25" ht="14.5" x14ac:dyDescent="0.35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</row>
    <row r="236" spans="1:25" ht="14.5" x14ac:dyDescent="0.35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</row>
    <row r="237" spans="1:25" ht="14.5" x14ac:dyDescent="0.35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</row>
    <row r="238" spans="1:25" ht="14.5" x14ac:dyDescent="0.35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</row>
    <row r="239" spans="1:25" ht="14.5" x14ac:dyDescent="0.3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</row>
    <row r="240" spans="1:25" ht="14.5" x14ac:dyDescent="0.35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</row>
    <row r="241" spans="1:25" ht="14.5" x14ac:dyDescent="0.35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</row>
    <row r="242" spans="1:25" ht="14.5" x14ac:dyDescent="0.35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</row>
    <row r="243" spans="1:25" ht="14.5" x14ac:dyDescent="0.35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</row>
    <row r="244" spans="1:25" ht="14.5" x14ac:dyDescent="0.35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</row>
    <row r="245" spans="1:25" ht="14.5" x14ac:dyDescent="0.35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</row>
    <row r="246" spans="1:25" ht="14.5" x14ac:dyDescent="0.35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</row>
    <row r="247" spans="1:25" ht="14.5" x14ac:dyDescent="0.35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</row>
    <row r="248" spans="1:25" ht="14.5" x14ac:dyDescent="0.35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</row>
    <row r="249" spans="1:25" ht="14.5" x14ac:dyDescent="0.35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</row>
    <row r="250" spans="1:25" ht="14.5" x14ac:dyDescent="0.35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</row>
    <row r="251" spans="1:25" ht="14.5" x14ac:dyDescent="0.35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</row>
    <row r="252" spans="1:25" ht="14.5" x14ac:dyDescent="0.35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</row>
    <row r="253" spans="1:25" ht="14.5" x14ac:dyDescent="0.35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</row>
    <row r="254" spans="1:25" ht="14.5" x14ac:dyDescent="0.35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</row>
    <row r="255" spans="1:25" ht="14.5" x14ac:dyDescent="0.35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</row>
    <row r="256" spans="1:25" ht="14.5" x14ac:dyDescent="0.35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</row>
    <row r="257" spans="1:25" ht="14.5" x14ac:dyDescent="0.35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</row>
    <row r="258" spans="1:25" ht="14.5" x14ac:dyDescent="0.35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</row>
    <row r="259" spans="1:25" ht="14.5" x14ac:dyDescent="0.35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</row>
    <row r="260" spans="1:25" ht="14.5" x14ac:dyDescent="0.35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</row>
    <row r="261" spans="1:25" ht="14.5" x14ac:dyDescent="0.35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</row>
    <row r="262" spans="1:25" ht="14.5" x14ac:dyDescent="0.35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</row>
    <row r="263" spans="1:25" ht="14.5" x14ac:dyDescent="0.35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</row>
    <row r="264" spans="1:25" ht="14.5" x14ac:dyDescent="0.35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</row>
    <row r="265" spans="1:25" ht="14.5" x14ac:dyDescent="0.35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</row>
    <row r="266" spans="1:25" ht="14.5" x14ac:dyDescent="0.35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</row>
    <row r="267" spans="1:25" ht="14.5" x14ac:dyDescent="0.35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</row>
    <row r="268" spans="1:25" ht="14.5" x14ac:dyDescent="0.35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</row>
    <row r="269" spans="1:25" ht="14.5" x14ac:dyDescent="0.35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</row>
    <row r="270" spans="1:25" ht="14.5" x14ac:dyDescent="0.35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</row>
    <row r="271" spans="1:25" ht="14.5" x14ac:dyDescent="0.35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</row>
    <row r="272" spans="1:25" ht="14.5" x14ac:dyDescent="0.35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</row>
    <row r="273" spans="1:25" ht="14.5" x14ac:dyDescent="0.35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</row>
    <row r="274" spans="1:25" ht="14.5" x14ac:dyDescent="0.35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</row>
    <row r="275" spans="1:25" ht="14.5" x14ac:dyDescent="0.35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</row>
    <row r="276" spans="1:25" ht="14.5" x14ac:dyDescent="0.35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</row>
    <row r="277" spans="1:25" ht="14.5" x14ac:dyDescent="0.35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</row>
    <row r="278" spans="1:25" ht="14.5" x14ac:dyDescent="0.35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</row>
    <row r="279" spans="1:25" ht="14.5" x14ac:dyDescent="0.35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</row>
    <row r="280" spans="1:25" ht="14.5" x14ac:dyDescent="0.35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</row>
    <row r="281" spans="1:25" ht="14.5" x14ac:dyDescent="0.35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</row>
    <row r="282" spans="1:25" ht="14.5" x14ac:dyDescent="0.35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</row>
    <row r="283" spans="1:25" ht="14.5" x14ac:dyDescent="0.35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</row>
    <row r="284" spans="1:25" ht="14.5" x14ac:dyDescent="0.35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</row>
    <row r="285" spans="1:25" ht="14.5" x14ac:dyDescent="0.35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</row>
    <row r="286" spans="1:25" ht="14.5" x14ac:dyDescent="0.35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</row>
    <row r="287" spans="1:25" ht="14.5" x14ac:dyDescent="0.35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</row>
    <row r="288" spans="1:25" ht="14.5" x14ac:dyDescent="0.35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</row>
    <row r="289" spans="1:25" ht="14.5" x14ac:dyDescent="0.35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</row>
    <row r="290" spans="1:25" ht="14.5" x14ac:dyDescent="0.35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</row>
    <row r="291" spans="1:25" ht="14.5" x14ac:dyDescent="0.35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</row>
    <row r="292" spans="1:25" ht="14.5" x14ac:dyDescent="0.35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</row>
    <row r="293" spans="1:25" ht="14.5" x14ac:dyDescent="0.35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</row>
    <row r="294" spans="1:25" ht="14.5" x14ac:dyDescent="0.35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</row>
    <row r="295" spans="1:25" ht="14.5" x14ac:dyDescent="0.35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</row>
    <row r="296" spans="1:25" ht="14.5" x14ac:dyDescent="0.35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</row>
    <row r="297" spans="1:25" ht="14.5" x14ac:dyDescent="0.35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</row>
    <row r="298" spans="1:25" ht="14.5" x14ac:dyDescent="0.35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</row>
    <row r="299" spans="1:25" ht="14.5" x14ac:dyDescent="0.35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</row>
    <row r="300" spans="1:25" ht="14.5" x14ac:dyDescent="0.35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</row>
    <row r="301" spans="1:25" ht="14.5" x14ac:dyDescent="0.35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</row>
    <row r="302" spans="1:25" ht="14.5" x14ac:dyDescent="0.35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</row>
    <row r="303" spans="1:25" ht="14.5" x14ac:dyDescent="0.35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</row>
    <row r="304" spans="1:25" ht="14.5" x14ac:dyDescent="0.35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</row>
    <row r="305" spans="1:25" ht="14.5" x14ac:dyDescent="0.35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</row>
    <row r="306" spans="1:25" ht="14.5" x14ac:dyDescent="0.35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</row>
    <row r="307" spans="1:25" ht="14.5" x14ac:dyDescent="0.35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</row>
    <row r="308" spans="1:25" ht="14.5" x14ac:dyDescent="0.35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</row>
    <row r="309" spans="1:25" ht="14.5" x14ac:dyDescent="0.35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</row>
    <row r="310" spans="1:25" ht="14.5" x14ac:dyDescent="0.35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</row>
    <row r="311" spans="1:25" ht="14.5" x14ac:dyDescent="0.35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</row>
    <row r="312" spans="1:25" ht="14.5" x14ac:dyDescent="0.35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</row>
    <row r="313" spans="1:25" ht="14.5" x14ac:dyDescent="0.35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</row>
    <row r="314" spans="1:25" ht="14.5" x14ac:dyDescent="0.35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</row>
    <row r="315" spans="1:25" ht="14.5" x14ac:dyDescent="0.35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</row>
    <row r="316" spans="1:25" ht="14.5" x14ac:dyDescent="0.35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</row>
    <row r="317" spans="1:25" ht="14.5" x14ac:dyDescent="0.35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</row>
    <row r="318" spans="1:25" ht="14.5" x14ac:dyDescent="0.35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</row>
    <row r="319" spans="1:25" ht="14.5" x14ac:dyDescent="0.35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</row>
    <row r="320" spans="1:25" ht="14.5" x14ac:dyDescent="0.35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</row>
    <row r="321" spans="1:25" ht="14.5" x14ac:dyDescent="0.35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</row>
    <row r="322" spans="1:25" ht="14.5" x14ac:dyDescent="0.35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</row>
    <row r="323" spans="1:25" ht="14.5" x14ac:dyDescent="0.35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</row>
    <row r="324" spans="1:25" ht="14.5" x14ac:dyDescent="0.35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</row>
    <row r="325" spans="1:25" ht="14.5" x14ac:dyDescent="0.35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</row>
    <row r="326" spans="1:25" ht="14.5" x14ac:dyDescent="0.35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</row>
    <row r="327" spans="1:25" ht="14.5" x14ac:dyDescent="0.35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</row>
    <row r="328" spans="1:25" ht="14.5" x14ac:dyDescent="0.35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</row>
    <row r="329" spans="1:25" ht="14.5" x14ac:dyDescent="0.35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</row>
    <row r="330" spans="1:25" ht="14.5" x14ac:dyDescent="0.35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</row>
    <row r="331" spans="1:25" ht="14.5" x14ac:dyDescent="0.35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</row>
    <row r="332" spans="1:25" ht="14.5" x14ac:dyDescent="0.35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</row>
    <row r="333" spans="1:25" ht="14.5" x14ac:dyDescent="0.35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</row>
    <row r="334" spans="1:25" ht="14.5" x14ac:dyDescent="0.35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</row>
    <row r="335" spans="1:25" ht="14.5" x14ac:dyDescent="0.35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</row>
    <row r="336" spans="1:25" ht="14.5" x14ac:dyDescent="0.35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</row>
    <row r="337" spans="1:25" ht="14.5" x14ac:dyDescent="0.35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</row>
    <row r="338" spans="1:25" ht="14.5" x14ac:dyDescent="0.35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</row>
    <row r="339" spans="1:25" ht="14.5" x14ac:dyDescent="0.35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</row>
    <row r="340" spans="1:25" ht="14.5" x14ac:dyDescent="0.35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</row>
    <row r="341" spans="1:25" ht="14.5" x14ac:dyDescent="0.35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</row>
    <row r="342" spans="1:25" ht="14.5" x14ac:dyDescent="0.35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</row>
    <row r="343" spans="1:25" ht="14.5" x14ac:dyDescent="0.35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</row>
    <row r="344" spans="1:25" ht="14.5" x14ac:dyDescent="0.35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</row>
    <row r="345" spans="1:25" ht="14.5" x14ac:dyDescent="0.35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</row>
    <row r="346" spans="1:25" ht="14.5" x14ac:dyDescent="0.35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</row>
    <row r="347" spans="1:25" ht="14.5" x14ac:dyDescent="0.35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</row>
    <row r="348" spans="1:25" ht="14.5" x14ac:dyDescent="0.35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</row>
    <row r="349" spans="1:25" ht="14.5" x14ac:dyDescent="0.35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</row>
    <row r="350" spans="1:25" ht="14.5" x14ac:dyDescent="0.35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</row>
    <row r="351" spans="1:25" ht="14.5" x14ac:dyDescent="0.35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</row>
    <row r="352" spans="1:25" ht="14.5" x14ac:dyDescent="0.35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</row>
    <row r="353" spans="1:25" ht="14.5" x14ac:dyDescent="0.35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</row>
    <row r="354" spans="1:25" ht="14.5" x14ac:dyDescent="0.35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</row>
    <row r="355" spans="1:25" ht="14.5" x14ac:dyDescent="0.35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</row>
    <row r="356" spans="1:25" ht="14.5" x14ac:dyDescent="0.35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</row>
    <row r="357" spans="1:25" ht="14.5" x14ac:dyDescent="0.35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</row>
    <row r="358" spans="1:25" ht="14.5" x14ac:dyDescent="0.35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</row>
    <row r="359" spans="1:25" ht="14.5" x14ac:dyDescent="0.35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</row>
    <row r="360" spans="1:25" ht="14.5" x14ac:dyDescent="0.35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</row>
    <row r="361" spans="1:25" ht="14.5" x14ac:dyDescent="0.35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</row>
    <row r="362" spans="1:25" ht="14.5" x14ac:dyDescent="0.35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</row>
    <row r="363" spans="1:25" ht="14.5" x14ac:dyDescent="0.35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</row>
    <row r="364" spans="1:25" ht="14.5" x14ac:dyDescent="0.35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</row>
    <row r="365" spans="1:25" ht="14.5" x14ac:dyDescent="0.35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</row>
    <row r="366" spans="1:25" ht="14.5" x14ac:dyDescent="0.3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</row>
    <row r="367" spans="1:25" ht="14.5" x14ac:dyDescent="0.35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</row>
    <row r="368" spans="1:25" ht="14.5" x14ac:dyDescent="0.35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</row>
    <row r="369" spans="1:25" ht="14.5" x14ac:dyDescent="0.35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</row>
    <row r="370" spans="1:25" ht="14.5" x14ac:dyDescent="0.35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</row>
    <row r="371" spans="1:25" ht="14.5" x14ac:dyDescent="0.35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</row>
    <row r="372" spans="1:25" ht="14.5" x14ac:dyDescent="0.35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</row>
    <row r="373" spans="1:25" ht="14.5" x14ac:dyDescent="0.35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</row>
    <row r="374" spans="1:25" ht="14.5" x14ac:dyDescent="0.35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</row>
    <row r="375" spans="1:25" ht="14.5" x14ac:dyDescent="0.35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</row>
    <row r="376" spans="1:25" ht="14.5" x14ac:dyDescent="0.35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</row>
    <row r="377" spans="1:25" ht="14.5" x14ac:dyDescent="0.35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</row>
    <row r="378" spans="1:25" ht="14.5" x14ac:dyDescent="0.35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</row>
    <row r="379" spans="1:25" ht="14.5" x14ac:dyDescent="0.35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</row>
    <row r="380" spans="1:25" ht="14.5" x14ac:dyDescent="0.35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</row>
    <row r="381" spans="1:25" ht="14.5" x14ac:dyDescent="0.35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</row>
    <row r="382" spans="1:25" ht="14.5" x14ac:dyDescent="0.35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</row>
    <row r="383" spans="1:25" ht="14.5" x14ac:dyDescent="0.35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</row>
    <row r="384" spans="1:25" ht="14.5" x14ac:dyDescent="0.35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</row>
    <row r="385" spans="1:25" ht="14.5" x14ac:dyDescent="0.35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</row>
    <row r="386" spans="1:25" ht="14.5" x14ac:dyDescent="0.35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</row>
    <row r="387" spans="1:25" ht="14.5" x14ac:dyDescent="0.35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</row>
    <row r="388" spans="1:25" ht="14.5" x14ac:dyDescent="0.35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</row>
    <row r="389" spans="1:25" ht="14.5" x14ac:dyDescent="0.35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</row>
    <row r="390" spans="1:25" ht="14.5" x14ac:dyDescent="0.35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</row>
    <row r="391" spans="1:25" ht="14.5" x14ac:dyDescent="0.35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</row>
    <row r="392" spans="1:25" ht="14.5" x14ac:dyDescent="0.35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</row>
    <row r="393" spans="1:25" ht="14.5" x14ac:dyDescent="0.35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</row>
    <row r="394" spans="1:25" ht="14.5" x14ac:dyDescent="0.35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</row>
    <row r="395" spans="1:25" ht="14.5" x14ac:dyDescent="0.35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</row>
    <row r="396" spans="1:25" ht="14.5" x14ac:dyDescent="0.35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</row>
    <row r="397" spans="1:25" ht="14.5" x14ac:dyDescent="0.35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</row>
    <row r="398" spans="1:25" ht="14.5" x14ac:dyDescent="0.35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</row>
    <row r="399" spans="1:25" ht="14.5" x14ac:dyDescent="0.35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</row>
    <row r="400" spans="1:25" ht="14.5" x14ac:dyDescent="0.35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</row>
    <row r="401" spans="1:25" ht="14.5" x14ac:dyDescent="0.35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</row>
    <row r="402" spans="1:25" ht="14.5" x14ac:dyDescent="0.35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</row>
    <row r="403" spans="1:25" ht="14.5" x14ac:dyDescent="0.35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</row>
    <row r="404" spans="1:25" ht="14.5" x14ac:dyDescent="0.35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</row>
    <row r="405" spans="1:25" ht="14.5" x14ac:dyDescent="0.35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</row>
    <row r="406" spans="1:25" ht="14.5" x14ac:dyDescent="0.35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</row>
    <row r="407" spans="1:25" ht="14.5" x14ac:dyDescent="0.35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</row>
    <row r="408" spans="1:25" ht="14.5" x14ac:dyDescent="0.35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</row>
    <row r="409" spans="1:25" ht="14.5" x14ac:dyDescent="0.35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</row>
    <row r="410" spans="1:25" ht="14.5" x14ac:dyDescent="0.35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</row>
    <row r="411" spans="1:25" ht="14.5" x14ac:dyDescent="0.35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</row>
    <row r="412" spans="1:25" ht="14.5" x14ac:dyDescent="0.35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</row>
    <row r="413" spans="1:25" ht="14.5" x14ac:dyDescent="0.35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</row>
    <row r="414" spans="1:25" ht="14.5" x14ac:dyDescent="0.35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</row>
    <row r="415" spans="1:25" ht="14.5" x14ac:dyDescent="0.35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</row>
    <row r="416" spans="1:25" ht="14.5" x14ac:dyDescent="0.35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</row>
    <row r="417" spans="1:25" ht="14.5" x14ac:dyDescent="0.35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</row>
    <row r="418" spans="1:25" ht="14.5" x14ac:dyDescent="0.35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</row>
    <row r="419" spans="1:25" ht="14.5" x14ac:dyDescent="0.35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</row>
    <row r="420" spans="1:25" ht="14.5" x14ac:dyDescent="0.35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</row>
    <row r="421" spans="1:25" ht="14.5" x14ac:dyDescent="0.35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</row>
    <row r="422" spans="1:25" ht="14.5" x14ac:dyDescent="0.35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</row>
    <row r="423" spans="1:25" ht="14.5" x14ac:dyDescent="0.35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</row>
    <row r="424" spans="1:25" ht="14.5" x14ac:dyDescent="0.35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</row>
    <row r="425" spans="1:25" ht="14.5" x14ac:dyDescent="0.35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</row>
    <row r="426" spans="1:25" ht="14.5" x14ac:dyDescent="0.35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</row>
    <row r="427" spans="1:25" ht="14.5" x14ac:dyDescent="0.35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</row>
    <row r="428" spans="1:25" ht="14.5" x14ac:dyDescent="0.35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</row>
    <row r="429" spans="1:25" ht="14.5" x14ac:dyDescent="0.35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</row>
    <row r="430" spans="1:25" ht="14.5" x14ac:dyDescent="0.35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</row>
    <row r="431" spans="1:25" ht="14.5" x14ac:dyDescent="0.35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</row>
    <row r="432" spans="1:25" ht="14.5" x14ac:dyDescent="0.35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</row>
    <row r="433" spans="1:25" ht="14.5" x14ac:dyDescent="0.35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</row>
    <row r="434" spans="1:25" ht="14.5" x14ac:dyDescent="0.35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</row>
    <row r="435" spans="1:25" ht="14.5" x14ac:dyDescent="0.35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</row>
    <row r="436" spans="1:25" ht="14.5" x14ac:dyDescent="0.35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</row>
    <row r="437" spans="1:25" ht="14.5" x14ac:dyDescent="0.35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</row>
    <row r="438" spans="1:25" ht="14.5" x14ac:dyDescent="0.35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</row>
    <row r="439" spans="1:25" ht="14.5" x14ac:dyDescent="0.35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</row>
    <row r="440" spans="1:25" ht="14.5" x14ac:dyDescent="0.35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</row>
    <row r="441" spans="1:25" ht="14.5" x14ac:dyDescent="0.35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</row>
    <row r="442" spans="1:25" ht="14.5" x14ac:dyDescent="0.35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</row>
    <row r="443" spans="1:25" ht="14.5" x14ac:dyDescent="0.35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</row>
    <row r="444" spans="1:25" ht="14.5" x14ac:dyDescent="0.35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</row>
    <row r="445" spans="1:25" ht="14.5" x14ac:dyDescent="0.35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</row>
    <row r="446" spans="1:25" ht="14.5" x14ac:dyDescent="0.35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</row>
    <row r="447" spans="1:25" ht="14.5" x14ac:dyDescent="0.35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</row>
    <row r="448" spans="1:25" ht="14.5" x14ac:dyDescent="0.35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</row>
    <row r="449" spans="1:25" ht="14.5" x14ac:dyDescent="0.35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</row>
    <row r="450" spans="1:25" ht="14.5" x14ac:dyDescent="0.35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</row>
    <row r="451" spans="1:25" ht="14.5" x14ac:dyDescent="0.35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</row>
    <row r="452" spans="1:25" ht="14.5" x14ac:dyDescent="0.35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</row>
    <row r="453" spans="1:25" ht="14.5" x14ac:dyDescent="0.35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</row>
    <row r="454" spans="1:25" ht="14.5" x14ac:dyDescent="0.35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</row>
    <row r="455" spans="1:25" ht="14.5" x14ac:dyDescent="0.35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</row>
    <row r="456" spans="1:25" ht="14.5" x14ac:dyDescent="0.35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</row>
    <row r="457" spans="1:25" ht="14.5" x14ac:dyDescent="0.35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</row>
    <row r="458" spans="1:25" ht="14.5" x14ac:dyDescent="0.35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</row>
    <row r="459" spans="1:25" ht="14.5" x14ac:dyDescent="0.35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</row>
    <row r="460" spans="1:25" ht="14.5" x14ac:dyDescent="0.35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</row>
    <row r="461" spans="1:25" ht="14.5" x14ac:dyDescent="0.35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</row>
    <row r="462" spans="1:25" ht="14.5" x14ac:dyDescent="0.3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</row>
    <row r="463" spans="1:25" ht="14.5" x14ac:dyDescent="0.3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</row>
    <row r="464" spans="1:25" ht="14.5" x14ac:dyDescent="0.3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</row>
    <row r="465" spans="1:25" ht="14.5" x14ac:dyDescent="0.3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</row>
    <row r="466" spans="1:25" ht="14.5" x14ac:dyDescent="0.3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</row>
    <row r="467" spans="1:25" ht="14.5" x14ac:dyDescent="0.3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</row>
    <row r="468" spans="1:25" ht="14.5" x14ac:dyDescent="0.3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</row>
    <row r="469" spans="1:25" ht="14.5" x14ac:dyDescent="0.3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</row>
    <row r="470" spans="1:25" ht="14.5" x14ac:dyDescent="0.3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</row>
    <row r="471" spans="1:25" ht="14.5" x14ac:dyDescent="0.3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</row>
    <row r="472" spans="1:25" ht="14.5" x14ac:dyDescent="0.3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</row>
    <row r="473" spans="1:25" ht="14.5" x14ac:dyDescent="0.35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</row>
    <row r="474" spans="1:25" ht="14.5" x14ac:dyDescent="0.35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</row>
    <row r="475" spans="1:25" ht="14.5" x14ac:dyDescent="0.35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</row>
    <row r="476" spans="1:25" ht="14.5" x14ac:dyDescent="0.3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</row>
    <row r="477" spans="1:25" ht="14.5" x14ac:dyDescent="0.3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</row>
    <row r="478" spans="1:25" ht="14.5" x14ac:dyDescent="0.3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</row>
    <row r="479" spans="1:25" ht="14.5" x14ac:dyDescent="0.35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</row>
    <row r="480" spans="1:25" ht="14.5" x14ac:dyDescent="0.35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</row>
    <row r="481" spans="1:25" ht="14.5" x14ac:dyDescent="0.35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</row>
    <row r="482" spans="1:25" ht="14.5" x14ac:dyDescent="0.3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</row>
    <row r="483" spans="1:25" ht="14.5" x14ac:dyDescent="0.3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</row>
    <row r="484" spans="1:25" ht="14.5" x14ac:dyDescent="0.3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</row>
    <row r="485" spans="1:25" ht="14.5" x14ac:dyDescent="0.35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</row>
    <row r="486" spans="1:25" ht="14.5" x14ac:dyDescent="0.35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</row>
    <row r="487" spans="1:25" ht="14.5" x14ac:dyDescent="0.35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</row>
    <row r="488" spans="1:25" ht="14.5" x14ac:dyDescent="0.3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</row>
    <row r="489" spans="1:25" ht="14.5" x14ac:dyDescent="0.3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</row>
    <row r="490" spans="1:25" ht="14.5" x14ac:dyDescent="0.3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</row>
    <row r="491" spans="1:25" ht="14.5" x14ac:dyDescent="0.35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</row>
    <row r="492" spans="1:25" ht="14.5" x14ac:dyDescent="0.35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</row>
    <row r="493" spans="1:25" ht="14.5" x14ac:dyDescent="0.3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</row>
    <row r="494" spans="1:25" ht="14.5" x14ac:dyDescent="0.3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</row>
    <row r="495" spans="1:25" ht="14.5" x14ac:dyDescent="0.35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</row>
    <row r="496" spans="1:25" ht="14.5" x14ac:dyDescent="0.3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</row>
    <row r="497" spans="1:25" ht="14.5" x14ac:dyDescent="0.35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</row>
    <row r="498" spans="1:25" ht="14.5" x14ac:dyDescent="0.3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</row>
    <row r="499" spans="1:25" ht="14.5" x14ac:dyDescent="0.35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</row>
    <row r="500" spans="1:25" ht="14.5" x14ac:dyDescent="0.3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</row>
    <row r="501" spans="1:25" ht="14.5" x14ac:dyDescent="0.3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</row>
    <row r="502" spans="1:25" ht="14.5" x14ac:dyDescent="0.3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</row>
    <row r="503" spans="1:25" ht="14.5" x14ac:dyDescent="0.35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</row>
    <row r="504" spans="1:25" ht="14.5" x14ac:dyDescent="0.35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</row>
    <row r="505" spans="1:25" ht="14.5" x14ac:dyDescent="0.35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</row>
    <row r="506" spans="1:25" ht="14.5" x14ac:dyDescent="0.3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</row>
    <row r="507" spans="1:25" ht="14.5" x14ac:dyDescent="0.3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</row>
    <row r="508" spans="1:25" ht="14.5" x14ac:dyDescent="0.3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</row>
    <row r="509" spans="1:25" ht="14.5" x14ac:dyDescent="0.35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</row>
    <row r="510" spans="1:25" ht="14.5" x14ac:dyDescent="0.35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</row>
    <row r="511" spans="1:25" ht="14.5" x14ac:dyDescent="0.35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</row>
    <row r="512" spans="1:25" ht="14.5" x14ac:dyDescent="0.3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</row>
    <row r="513" spans="1:25" ht="14.5" x14ac:dyDescent="0.3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</row>
    <row r="514" spans="1:25" ht="14.5" x14ac:dyDescent="0.3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</row>
    <row r="515" spans="1:25" ht="14.5" x14ac:dyDescent="0.35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</row>
    <row r="516" spans="1:25" ht="14.5" x14ac:dyDescent="0.35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</row>
    <row r="517" spans="1:25" ht="14.5" x14ac:dyDescent="0.35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</row>
    <row r="518" spans="1:25" ht="14.5" x14ac:dyDescent="0.3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</row>
    <row r="519" spans="1:25" ht="14.5" x14ac:dyDescent="0.3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</row>
    <row r="520" spans="1:25" ht="14.5" x14ac:dyDescent="0.3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</row>
    <row r="521" spans="1:25" ht="14.5" x14ac:dyDescent="0.35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</row>
    <row r="522" spans="1:25" ht="14.5" x14ac:dyDescent="0.35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</row>
    <row r="523" spans="1:25" ht="14.5" x14ac:dyDescent="0.35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</row>
    <row r="524" spans="1:25" ht="14.5" x14ac:dyDescent="0.3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</row>
    <row r="525" spans="1:25" ht="14.5" x14ac:dyDescent="0.3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</row>
    <row r="526" spans="1:25" ht="14.5" x14ac:dyDescent="0.3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</row>
    <row r="527" spans="1:25" ht="14.5" x14ac:dyDescent="0.35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</row>
    <row r="528" spans="1:25" ht="14.5" x14ac:dyDescent="0.35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</row>
    <row r="529" spans="1:25" ht="14.5" x14ac:dyDescent="0.35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</row>
    <row r="530" spans="1:25" ht="14.5" x14ac:dyDescent="0.35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</row>
    <row r="531" spans="1:25" ht="14.5" x14ac:dyDescent="0.35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</row>
    <row r="532" spans="1:25" ht="14.5" x14ac:dyDescent="0.35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</row>
    <row r="533" spans="1:25" ht="14.5" x14ac:dyDescent="0.35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</row>
    <row r="534" spans="1:25" ht="14.5" x14ac:dyDescent="0.35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</row>
    <row r="535" spans="1:25" ht="14.5" x14ac:dyDescent="0.35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</row>
    <row r="536" spans="1:25" ht="14.5" x14ac:dyDescent="0.35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</row>
    <row r="537" spans="1:25" ht="14.5" x14ac:dyDescent="0.35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</row>
    <row r="538" spans="1:25" ht="14.5" x14ac:dyDescent="0.35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</row>
    <row r="539" spans="1:25" ht="14.5" x14ac:dyDescent="0.35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</row>
    <row r="540" spans="1:25" ht="14.5" x14ac:dyDescent="0.35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</row>
    <row r="541" spans="1:25" ht="14.5" x14ac:dyDescent="0.35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</row>
    <row r="542" spans="1:25" ht="14.5" x14ac:dyDescent="0.35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</row>
    <row r="543" spans="1:25" ht="14.5" x14ac:dyDescent="0.35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</row>
    <row r="544" spans="1:25" ht="14.5" x14ac:dyDescent="0.35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</row>
    <row r="545" spans="1:25" ht="14.5" x14ac:dyDescent="0.3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</row>
    <row r="546" spans="1:25" ht="14.5" x14ac:dyDescent="0.3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</row>
    <row r="547" spans="1:25" ht="14.5" x14ac:dyDescent="0.3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</row>
    <row r="548" spans="1:25" ht="14.5" x14ac:dyDescent="0.3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</row>
    <row r="549" spans="1:25" ht="14.5" x14ac:dyDescent="0.3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</row>
    <row r="550" spans="1:25" ht="14.5" x14ac:dyDescent="0.3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</row>
    <row r="551" spans="1:25" ht="14.5" x14ac:dyDescent="0.3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</row>
    <row r="552" spans="1:25" ht="14.5" x14ac:dyDescent="0.3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</row>
    <row r="553" spans="1:25" ht="14.5" x14ac:dyDescent="0.3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</row>
    <row r="554" spans="1:25" ht="14.5" x14ac:dyDescent="0.3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</row>
    <row r="555" spans="1:25" ht="14.5" x14ac:dyDescent="0.3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</row>
    <row r="556" spans="1:25" ht="14.5" x14ac:dyDescent="0.3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</row>
    <row r="557" spans="1:25" ht="14.5" x14ac:dyDescent="0.3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</row>
    <row r="558" spans="1:25" ht="14.5" x14ac:dyDescent="0.3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</row>
    <row r="559" spans="1:25" ht="14.5" x14ac:dyDescent="0.3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</row>
    <row r="560" spans="1:25" ht="14.5" x14ac:dyDescent="0.3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</row>
    <row r="561" spans="1:25" ht="14.5" x14ac:dyDescent="0.3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</row>
    <row r="562" spans="1:25" ht="14.5" x14ac:dyDescent="0.3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</row>
    <row r="563" spans="1:25" ht="14.5" x14ac:dyDescent="0.3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</row>
    <row r="564" spans="1:25" ht="14.5" x14ac:dyDescent="0.3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</row>
    <row r="565" spans="1:25" ht="14.5" x14ac:dyDescent="0.3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</row>
    <row r="566" spans="1:25" ht="14.5" x14ac:dyDescent="0.3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</row>
    <row r="567" spans="1:25" ht="14.5" x14ac:dyDescent="0.3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</row>
    <row r="568" spans="1:25" ht="14.5" x14ac:dyDescent="0.3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</row>
    <row r="569" spans="1:25" ht="14.5" x14ac:dyDescent="0.3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</row>
    <row r="570" spans="1:25" ht="14.5" x14ac:dyDescent="0.3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</row>
    <row r="571" spans="1:25" ht="14.5" x14ac:dyDescent="0.3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</row>
    <row r="572" spans="1:25" ht="14.5" x14ac:dyDescent="0.3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</row>
    <row r="573" spans="1:25" ht="14.5" x14ac:dyDescent="0.3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</row>
    <row r="574" spans="1:25" ht="14.5" x14ac:dyDescent="0.3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</row>
    <row r="575" spans="1:25" ht="14.5" x14ac:dyDescent="0.3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</row>
    <row r="576" spans="1:25" ht="14.5" x14ac:dyDescent="0.3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</row>
    <row r="577" spans="1:25" ht="14.5" x14ac:dyDescent="0.3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</row>
    <row r="578" spans="1:25" ht="14.5" x14ac:dyDescent="0.3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</row>
    <row r="579" spans="1:25" ht="14.5" x14ac:dyDescent="0.3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</row>
    <row r="580" spans="1:25" ht="14.5" x14ac:dyDescent="0.3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</row>
    <row r="581" spans="1:25" ht="14.5" x14ac:dyDescent="0.3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</row>
    <row r="582" spans="1:25" ht="14.5" x14ac:dyDescent="0.3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</row>
    <row r="583" spans="1:25" ht="14.5" x14ac:dyDescent="0.3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</row>
    <row r="584" spans="1:25" ht="14.5" x14ac:dyDescent="0.3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</row>
    <row r="585" spans="1:25" ht="14.5" x14ac:dyDescent="0.3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</row>
    <row r="586" spans="1:25" ht="14.5" x14ac:dyDescent="0.3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</row>
    <row r="587" spans="1:25" ht="14.5" x14ac:dyDescent="0.3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</row>
    <row r="588" spans="1:25" ht="14.5" x14ac:dyDescent="0.3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</row>
    <row r="589" spans="1:25" ht="14.5" x14ac:dyDescent="0.3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</row>
    <row r="590" spans="1:25" ht="14.5" x14ac:dyDescent="0.3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</row>
    <row r="591" spans="1:25" ht="14.5" x14ac:dyDescent="0.3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</row>
    <row r="592" spans="1:25" ht="14.5" x14ac:dyDescent="0.3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</row>
    <row r="593" spans="1:25" ht="14.5" x14ac:dyDescent="0.3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</row>
    <row r="594" spans="1:25" ht="14.5" x14ac:dyDescent="0.3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</row>
    <row r="595" spans="1:25" ht="14.5" x14ac:dyDescent="0.3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</row>
    <row r="596" spans="1:25" ht="14.5" x14ac:dyDescent="0.3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</row>
    <row r="597" spans="1:25" ht="14.5" x14ac:dyDescent="0.3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</row>
    <row r="598" spans="1:25" ht="14.5" x14ac:dyDescent="0.3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</row>
    <row r="599" spans="1:25" ht="14.5" x14ac:dyDescent="0.3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</row>
    <row r="600" spans="1:25" ht="14.5" x14ac:dyDescent="0.35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</row>
    <row r="601" spans="1:25" ht="14.5" x14ac:dyDescent="0.35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</row>
    <row r="602" spans="1:25" ht="14.5" x14ac:dyDescent="0.35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</row>
    <row r="603" spans="1:25" ht="14.5" x14ac:dyDescent="0.35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</row>
    <row r="604" spans="1:25" ht="14.5" x14ac:dyDescent="0.35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</row>
    <row r="605" spans="1:25" ht="14.5" x14ac:dyDescent="0.35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</row>
    <row r="606" spans="1:25" ht="14.5" x14ac:dyDescent="0.35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</row>
    <row r="607" spans="1:25" ht="14.5" x14ac:dyDescent="0.35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</row>
    <row r="608" spans="1:25" ht="14.5" x14ac:dyDescent="0.35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</row>
    <row r="609" spans="1:25" ht="14.5" x14ac:dyDescent="0.35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</row>
    <row r="610" spans="1:25" ht="14.5" x14ac:dyDescent="0.35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</row>
    <row r="611" spans="1:25" ht="14.5" x14ac:dyDescent="0.35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</row>
    <row r="612" spans="1:25" ht="14.5" x14ac:dyDescent="0.35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</row>
    <row r="613" spans="1:25" ht="14.5" x14ac:dyDescent="0.35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</row>
    <row r="614" spans="1:25" ht="14.5" x14ac:dyDescent="0.35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</row>
    <row r="615" spans="1:25" ht="14.5" x14ac:dyDescent="0.3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</row>
    <row r="616" spans="1:25" ht="14.5" x14ac:dyDescent="0.3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</row>
    <row r="617" spans="1:25" ht="14.5" x14ac:dyDescent="0.3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</row>
    <row r="618" spans="1:25" ht="14.5" x14ac:dyDescent="0.3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</row>
    <row r="619" spans="1:25" ht="14.5" x14ac:dyDescent="0.3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</row>
    <row r="620" spans="1:25" ht="14.5" x14ac:dyDescent="0.3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</row>
    <row r="621" spans="1:25" ht="14.5" x14ac:dyDescent="0.3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</row>
    <row r="622" spans="1:25" ht="14.5" x14ac:dyDescent="0.3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</row>
    <row r="623" spans="1:25" ht="14.5" x14ac:dyDescent="0.3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</row>
    <row r="624" spans="1:25" ht="14.5" x14ac:dyDescent="0.3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</row>
    <row r="625" spans="1:25" ht="14.5" x14ac:dyDescent="0.3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</row>
    <row r="626" spans="1:25" ht="14.5" x14ac:dyDescent="0.3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</row>
    <row r="627" spans="1:25" ht="14.5" x14ac:dyDescent="0.3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</row>
    <row r="628" spans="1:25" ht="14.5" x14ac:dyDescent="0.3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</row>
    <row r="629" spans="1:25" ht="14.5" x14ac:dyDescent="0.3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</row>
    <row r="630" spans="1:25" ht="14.5" x14ac:dyDescent="0.3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</row>
    <row r="631" spans="1:25" ht="14.5" x14ac:dyDescent="0.3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</row>
    <row r="632" spans="1:25" ht="14.5" x14ac:dyDescent="0.3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</row>
    <row r="633" spans="1:25" ht="14.5" x14ac:dyDescent="0.3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</row>
    <row r="634" spans="1:25" ht="14.5" x14ac:dyDescent="0.3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</row>
    <row r="635" spans="1:25" ht="14.5" x14ac:dyDescent="0.3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</row>
    <row r="636" spans="1:25" ht="14.5" x14ac:dyDescent="0.3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</row>
    <row r="637" spans="1:25" ht="14.5" x14ac:dyDescent="0.3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</row>
    <row r="638" spans="1:25" ht="14.5" x14ac:dyDescent="0.3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</row>
    <row r="639" spans="1:25" ht="14.5" x14ac:dyDescent="0.3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</row>
    <row r="640" spans="1:25" ht="14.5" x14ac:dyDescent="0.3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</row>
    <row r="641" spans="1:25" ht="14.5" x14ac:dyDescent="0.3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</row>
    <row r="642" spans="1:25" ht="14.5" x14ac:dyDescent="0.3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</row>
    <row r="643" spans="1:25" ht="14.5" x14ac:dyDescent="0.3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</row>
    <row r="644" spans="1:25" ht="14.5" x14ac:dyDescent="0.3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</row>
    <row r="645" spans="1:25" ht="14.5" x14ac:dyDescent="0.3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</row>
    <row r="646" spans="1:25" ht="14.5" x14ac:dyDescent="0.3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</row>
    <row r="647" spans="1:25" ht="14.5" x14ac:dyDescent="0.3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</row>
    <row r="648" spans="1:25" ht="14.5" x14ac:dyDescent="0.3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</row>
    <row r="649" spans="1:25" ht="14.5" x14ac:dyDescent="0.3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</row>
    <row r="650" spans="1:25" ht="14.5" x14ac:dyDescent="0.3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</row>
    <row r="651" spans="1:25" ht="14.5" x14ac:dyDescent="0.35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</row>
    <row r="652" spans="1:25" ht="14.5" x14ac:dyDescent="0.35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</row>
    <row r="653" spans="1:25" ht="14.5" x14ac:dyDescent="0.35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</row>
    <row r="654" spans="1:25" ht="14.5" x14ac:dyDescent="0.35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</row>
    <row r="655" spans="1:25" ht="14.5" x14ac:dyDescent="0.35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</row>
    <row r="656" spans="1:25" ht="14.5" x14ac:dyDescent="0.35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</row>
    <row r="657" spans="1:25" ht="14.5" x14ac:dyDescent="0.35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</row>
    <row r="658" spans="1:25" ht="14.5" x14ac:dyDescent="0.35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</row>
    <row r="659" spans="1:25" ht="14.5" x14ac:dyDescent="0.35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</row>
    <row r="660" spans="1:25" ht="14.5" x14ac:dyDescent="0.35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</row>
    <row r="661" spans="1:25" ht="14.5" x14ac:dyDescent="0.35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</row>
    <row r="662" spans="1:25" ht="14.5" x14ac:dyDescent="0.35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</row>
    <row r="663" spans="1:25" ht="14.5" x14ac:dyDescent="0.35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</row>
    <row r="664" spans="1:25" ht="14.5" x14ac:dyDescent="0.35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</row>
    <row r="665" spans="1:25" ht="14.5" x14ac:dyDescent="0.35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</row>
    <row r="666" spans="1:25" ht="14.5" x14ac:dyDescent="0.35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</row>
    <row r="667" spans="1:25" ht="14.5" x14ac:dyDescent="0.35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</row>
    <row r="668" spans="1:25" ht="14.5" x14ac:dyDescent="0.35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</row>
    <row r="669" spans="1:25" ht="14.5" x14ac:dyDescent="0.35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</row>
    <row r="670" spans="1:25" ht="14.5" x14ac:dyDescent="0.35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</row>
    <row r="671" spans="1:25" ht="14.5" x14ac:dyDescent="0.35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</row>
    <row r="672" spans="1:25" ht="14.5" x14ac:dyDescent="0.3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</row>
    <row r="673" spans="1:25" ht="14.5" x14ac:dyDescent="0.3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</row>
    <row r="674" spans="1:25" ht="14.5" x14ac:dyDescent="0.3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</row>
    <row r="675" spans="1:25" ht="14.5" x14ac:dyDescent="0.3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</row>
    <row r="676" spans="1:25" ht="14.5" x14ac:dyDescent="0.3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</row>
    <row r="677" spans="1:25" ht="14.5" x14ac:dyDescent="0.3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</row>
    <row r="678" spans="1:25" ht="14.5" x14ac:dyDescent="0.3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</row>
    <row r="679" spans="1:25" ht="14.5" x14ac:dyDescent="0.3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</row>
    <row r="680" spans="1:25" ht="14.5" x14ac:dyDescent="0.3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</row>
    <row r="681" spans="1:25" ht="14.5" x14ac:dyDescent="0.3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</row>
    <row r="682" spans="1:25" ht="14.5" x14ac:dyDescent="0.3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</row>
    <row r="683" spans="1:25" ht="14.5" x14ac:dyDescent="0.3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</row>
    <row r="684" spans="1:25" ht="14.5" x14ac:dyDescent="0.3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</row>
    <row r="685" spans="1:25" ht="14.5" x14ac:dyDescent="0.3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</row>
    <row r="686" spans="1:25" ht="14.5" x14ac:dyDescent="0.3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</row>
    <row r="687" spans="1:25" ht="14.5" x14ac:dyDescent="0.3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</row>
    <row r="688" spans="1:25" ht="14.5" x14ac:dyDescent="0.3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</row>
    <row r="689" spans="1:25" ht="14.5" x14ac:dyDescent="0.3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</row>
    <row r="690" spans="1:25" ht="14.5" x14ac:dyDescent="0.3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</row>
    <row r="691" spans="1:25" ht="14.5" x14ac:dyDescent="0.3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</row>
    <row r="692" spans="1:25" ht="14.5" x14ac:dyDescent="0.3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</row>
    <row r="693" spans="1:25" ht="14.5" x14ac:dyDescent="0.3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</row>
    <row r="694" spans="1:25" ht="14.5" x14ac:dyDescent="0.3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</row>
    <row r="695" spans="1:25" ht="14.5" x14ac:dyDescent="0.3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</row>
    <row r="696" spans="1:25" ht="14.5" x14ac:dyDescent="0.3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</row>
    <row r="697" spans="1:25" ht="14.5" x14ac:dyDescent="0.3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</row>
    <row r="698" spans="1:25" ht="14.5" x14ac:dyDescent="0.3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</row>
    <row r="699" spans="1:25" ht="14.5" x14ac:dyDescent="0.3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</row>
    <row r="700" spans="1:25" ht="14.5" x14ac:dyDescent="0.3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</row>
    <row r="701" spans="1:25" ht="14.5" x14ac:dyDescent="0.3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</row>
    <row r="702" spans="1:25" ht="14.5" x14ac:dyDescent="0.3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</row>
    <row r="703" spans="1:25" ht="14.5" x14ac:dyDescent="0.3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</row>
    <row r="704" spans="1:25" ht="14.5" x14ac:dyDescent="0.3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</row>
    <row r="705" spans="1:25" ht="14.5" x14ac:dyDescent="0.3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</row>
    <row r="706" spans="1:25" ht="14.5" x14ac:dyDescent="0.3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</row>
    <row r="707" spans="1:25" ht="14.5" x14ac:dyDescent="0.3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</row>
    <row r="708" spans="1:25" ht="14.5" x14ac:dyDescent="0.3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</row>
    <row r="709" spans="1:25" ht="14.5" x14ac:dyDescent="0.3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</row>
    <row r="710" spans="1:25" ht="14.5" x14ac:dyDescent="0.3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</row>
    <row r="711" spans="1:25" ht="14.5" x14ac:dyDescent="0.3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</row>
    <row r="712" spans="1:25" ht="14.5" x14ac:dyDescent="0.3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</row>
    <row r="713" spans="1:25" ht="14.5" x14ac:dyDescent="0.3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</row>
    <row r="714" spans="1:25" ht="14.5" x14ac:dyDescent="0.3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</row>
    <row r="715" spans="1:25" ht="14.5" x14ac:dyDescent="0.3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</row>
    <row r="716" spans="1:25" ht="14.5" x14ac:dyDescent="0.3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</row>
    <row r="717" spans="1:25" ht="14.5" x14ac:dyDescent="0.3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</row>
    <row r="718" spans="1:25" ht="14.5" x14ac:dyDescent="0.3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</row>
    <row r="719" spans="1:25" ht="14.5" x14ac:dyDescent="0.3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</row>
    <row r="720" spans="1:25" ht="14.5" x14ac:dyDescent="0.3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</row>
    <row r="721" spans="1:25" ht="14.5" x14ac:dyDescent="0.3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</row>
    <row r="722" spans="1:25" ht="14.5" x14ac:dyDescent="0.3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</row>
    <row r="723" spans="1:25" ht="14.5" x14ac:dyDescent="0.3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</row>
    <row r="724" spans="1:25" ht="14.5" x14ac:dyDescent="0.3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</row>
    <row r="725" spans="1:25" ht="14.5" x14ac:dyDescent="0.3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</row>
    <row r="726" spans="1:25" ht="14.5" x14ac:dyDescent="0.3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</row>
    <row r="727" spans="1:25" ht="14.5" x14ac:dyDescent="0.3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</row>
    <row r="728" spans="1:25" ht="14.5" x14ac:dyDescent="0.3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</row>
    <row r="729" spans="1:25" ht="14.5" x14ac:dyDescent="0.3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</row>
    <row r="730" spans="1:25" ht="14.5" x14ac:dyDescent="0.3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</row>
    <row r="731" spans="1:25" ht="14.5" x14ac:dyDescent="0.3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</row>
    <row r="732" spans="1:25" ht="14.5" x14ac:dyDescent="0.3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</row>
    <row r="733" spans="1:25" ht="14.5" x14ac:dyDescent="0.3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</row>
    <row r="734" spans="1:25" ht="14.5" x14ac:dyDescent="0.3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</row>
    <row r="735" spans="1:25" ht="14.5" x14ac:dyDescent="0.3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</row>
    <row r="736" spans="1:25" ht="14.5" x14ac:dyDescent="0.3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</row>
    <row r="737" spans="1:25" ht="14.5" x14ac:dyDescent="0.3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</row>
    <row r="738" spans="1:25" ht="14.5" x14ac:dyDescent="0.3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</row>
    <row r="739" spans="1:25" ht="14.5" x14ac:dyDescent="0.3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</row>
    <row r="740" spans="1:25" ht="14.5" x14ac:dyDescent="0.3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</row>
    <row r="741" spans="1:25" ht="14.5" x14ac:dyDescent="0.3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</row>
    <row r="742" spans="1:25" ht="14.5" x14ac:dyDescent="0.3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</row>
    <row r="743" spans="1:25" ht="14.5" x14ac:dyDescent="0.35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</row>
    <row r="744" spans="1:25" ht="14.5" x14ac:dyDescent="0.35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</row>
    <row r="745" spans="1:25" ht="14.5" x14ac:dyDescent="0.35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</row>
    <row r="746" spans="1:25" ht="14.5" x14ac:dyDescent="0.35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</row>
    <row r="747" spans="1:25" ht="14.5" x14ac:dyDescent="0.3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</row>
    <row r="748" spans="1:25" ht="14.5" x14ac:dyDescent="0.35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</row>
    <row r="749" spans="1:25" ht="14.5" x14ac:dyDescent="0.35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</row>
    <row r="750" spans="1:25" ht="14.5" x14ac:dyDescent="0.35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</row>
    <row r="751" spans="1:25" ht="14.5" x14ac:dyDescent="0.35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</row>
    <row r="752" spans="1:25" ht="14.5" x14ac:dyDescent="0.35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</row>
    <row r="753" spans="1:25" ht="14.5" x14ac:dyDescent="0.35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</row>
    <row r="754" spans="1:25" ht="14.5" x14ac:dyDescent="0.35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</row>
    <row r="755" spans="1:25" ht="14.5" x14ac:dyDescent="0.35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</row>
    <row r="756" spans="1:25" ht="14.5" x14ac:dyDescent="0.35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</row>
    <row r="757" spans="1:25" ht="14.5" x14ac:dyDescent="0.35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</row>
    <row r="758" spans="1:25" ht="14.5" x14ac:dyDescent="0.35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</row>
    <row r="759" spans="1:25" ht="14.5" x14ac:dyDescent="0.35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</row>
    <row r="760" spans="1:25" ht="14.5" x14ac:dyDescent="0.35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</row>
    <row r="761" spans="1:25" ht="14.5" x14ac:dyDescent="0.35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</row>
    <row r="762" spans="1:25" ht="14.5" x14ac:dyDescent="0.35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</row>
    <row r="763" spans="1:25" ht="14.5" x14ac:dyDescent="0.35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</row>
    <row r="764" spans="1:25" ht="14.5" x14ac:dyDescent="0.35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</row>
    <row r="765" spans="1:25" ht="14.5" x14ac:dyDescent="0.35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</row>
    <row r="766" spans="1:25" ht="14.5" x14ac:dyDescent="0.35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</row>
    <row r="767" spans="1:25" ht="14.5" x14ac:dyDescent="0.35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</row>
    <row r="768" spans="1:25" ht="14.5" x14ac:dyDescent="0.35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</row>
    <row r="769" spans="1:25" ht="14.5" x14ac:dyDescent="0.35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</row>
    <row r="770" spans="1:25" ht="14.5" x14ac:dyDescent="0.35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</row>
    <row r="771" spans="1:25" ht="14.5" x14ac:dyDescent="0.35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</row>
    <row r="772" spans="1:25" ht="14.5" x14ac:dyDescent="0.35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</row>
    <row r="773" spans="1:25" ht="14.5" x14ac:dyDescent="0.35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</row>
    <row r="774" spans="1:25" ht="14.5" x14ac:dyDescent="0.35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</row>
    <row r="775" spans="1:25" ht="14.5" x14ac:dyDescent="0.35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</row>
    <row r="776" spans="1:25" ht="14.5" x14ac:dyDescent="0.35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</row>
    <row r="777" spans="1:25" ht="14.5" x14ac:dyDescent="0.35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</row>
    <row r="778" spans="1:25" ht="14.5" x14ac:dyDescent="0.35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</row>
    <row r="779" spans="1:25" ht="14.5" x14ac:dyDescent="0.35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</row>
    <row r="780" spans="1:25" ht="14.5" x14ac:dyDescent="0.35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</row>
    <row r="781" spans="1:25" ht="14.5" x14ac:dyDescent="0.35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</row>
    <row r="782" spans="1:25" ht="14.5" x14ac:dyDescent="0.35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</row>
    <row r="783" spans="1:25" ht="14.5" x14ac:dyDescent="0.35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</row>
    <row r="784" spans="1:25" ht="14.5" x14ac:dyDescent="0.35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</row>
    <row r="785" spans="1:25" ht="14.5" x14ac:dyDescent="0.35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</row>
    <row r="786" spans="1:25" ht="14.5" x14ac:dyDescent="0.35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</row>
    <row r="787" spans="1:25" ht="14.5" x14ac:dyDescent="0.35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</row>
    <row r="788" spans="1:25" ht="14.5" x14ac:dyDescent="0.35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</row>
    <row r="789" spans="1:25" ht="14.5" x14ac:dyDescent="0.35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</row>
    <row r="790" spans="1:25" ht="14.5" x14ac:dyDescent="0.35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</row>
    <row r="791" spans="1:25" ht="14.5" x14ac:dyDescent="0.35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</row>
    <row r="792" spans="1:25" ht="14.5" x14ac:dyDescent="0.35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</row>
    <row r="793" spans="1:25" ht="14.5" x14ac:dyDescent="0.35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</row>
    <row r="794" spans="1:25" ht="14.5" x14ac:dyDescent="0.35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</row>
    <row r="795" spans="1:25" ht="14.5" x14ac:dyDescent="0.35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</row>
    <row r="796" spans="1:25" ht="14.5" x14ac:dyDescent="0.35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</row>
    <row r="797" spans="1:25" ht="14.5" x14ac:dyDescent="0.35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</row>
    <row r="798" spans="1:25" ht="14.5" x14ac:dyDescent="0.35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</row>
    <row r="799" spans="1:25" ht="14.5" x14ac:dyDescent="0.35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</row>
    <row r="800" spans="1:25" ht="14.5" x14ac:dyDescent="0.35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</row>
    <row r="801" spans="1:25" ht="14.5" x14ac:dyDescent="0.35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</row>
    <row r="802" spans="1:25" ht="14.5" x14ac:dyDescent="0.35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</row>
    <row r="803" spans="1:25" ht="14.5" x14ac:dyDescent="0.35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</row>
    <row r="804" spans="1:25" ht="14.5" x14ac:dyDescent="0.35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</row>
    <row r="805" spans="1:25" ht="14.5" x14ac:dyDescent="0.35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</row>
    <row r="806" spans="1:25" ht="14.5" x14ac:dyDescent="0.35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</row>
    <row r="807" spans="1:25" ht="14.5" x14ac:dyDescent="0.35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</row>
    <row r="808" spans="1:25" ht="14.5" x14ac:dyDescent="0.35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</row>
    <row r="809" spans="1:25" ht="14.5" x14ac:dyDescent="0.35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</row>
    <row r="810" spans="1:25" ht="14.5" x14ac:dyDescent="0.35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</row>
    <row r="811" spans="1:25" ht="14.5" x14ac:dyDescent="0.35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</row>
    <row r="812" spans="1:25" ht="14.5" x14ac:dyDescent="0.35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</row>
    <row r="813" spans="1:25" ht="14.5" x14ac:dyDescent="0.35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</row>
    <row r="814" spans="1:25" ht="14.5" x14ac:dyDescent="0.35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</row>
    <row r="815" spans="1:25" ht="14.5" x14ac:dyDescent="0.35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</row>
    <row r="816" spans="1:25" ht="14.5" x14ac:dyDescent="0.35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</row>
    <row r="817" spans="1:25" ht="14.5" x14ac:dyDescent="0.35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</row>
    <row r="818" spans="1:25" ht="14.5" x14ac:dyDescent="0.35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</row>
    <row r="819" spans="1:25" ht="14.5" x14ac:dyDescent="0.35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</row>
    <row r="820" spans="1:25" ht="14.5" x14ac:dyDescent="0.3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</row>
    <row r="821" spans="1:25" ht="14.5" x14ac:dyDescent="0.3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</row>
    <row r="822" spans="1:25" ht="14.5" x14ac:dyDescent="0.3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</row>
    <row r="823" spans="1:25" ht="14.5" x14ac:dyDescent="0.3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</row>
    <row r="824" spans="1:25" ht="14.5" x14ac:dyDescent="0.3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</row>
    <row r="825" spans="1:25" ht="14.5" x14ac:dyDescent="0.3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</row>
    <row r="826" spans="1:25" ht="14.5" x14ac:dyDescent="0.3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</row>
    <row r="827" spans="1:25" ht="14.5" x14ac:dyDescent="0.3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</row>
    <row r="828" spans="1:25" ht="14.5" x14ac:dyDescent="0.3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</row>
    <row r="829" spans="1:25" ht="14.5" x14ac:dyDescent="0.3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</row>
    <row r="830" spans="1:25" ht="14.5" x14ac:dyDescent="0.3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</row>
    <row r="831" spans="1:25" ht="14.5" x14ac:dyDescent="0.3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</row>
    <row r="832" spans="1:25" ht="14.5" x14ac:dyDescent="0.35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</row>
    <row r="833" spans="1:25" ht="14.5" x14ac:dyDescent="0.35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</row>
    <row r="834" spans="1:25" ht="14.5" x14ac:dyDescent="0.35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</row>
    <row r="835" spans="1:25" ht="14.5" x14ac:dyDescent="0.35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</row>
    <row r="836" spans="1:25" ht="14.5" x14ac:dyDescent="0.35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</row>
    <row r="837" spans="1:25" ht="14.5" x14ac:dyDescent="0.35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</row>
    <row r="838" spans="1:25" ht="14.5" x14ac:dyDescent="0.35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</row>
    <row r="839" spans="1:25" ht="14.5" x14ac:dyDescent="0.35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</row>
    <row r="840" spans="1:25" ht="14.5" x14ac:dyDescent="0.35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</row>
    <row r="841" spans="1:25" ht="14.5" x14ac:dyDescent="0.35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</row>
    <row r="842" spans="1:25" ht="14.5" x14ac:dyDescent="0.35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</row>
    <row r="843" spans="1:25" ht="14.5" x14ac:dyDescent="0.35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</row>
    <row r="844" spans="1:25" ht="14.5" x14ac:dyDescent="0.35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</row>
    <row r="845" spans="1:25" ht="14.5" x14ac:dyDescent="0.35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</row>
    <row r="846" spans="1:25" ht="14.5" x14ac:dyDescent="0.35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</row>
    <row r="847" spans="1:25" ht="14.5" x14ac:dyDescent="0.35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</row>
    <row r="848" spans="1:25" ht="14.5" x14ac:dyDescent="0.35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</row>
    <row r="849" spans="1:25" ht="14.5" x14ac:dyDescent="0.35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</row>
    <row r="850" spans="1:25" ht="14.5" x14ac:dyDescent="0.35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</row>
    <row r="851" spans="1:25" ht="14.5" x14ac:dyDescent="0.35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</row>
    <row r="852" spans="1:25" ht="14.5" x14ac:dyDescent="0.35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</row>
    <row r="853" spans="1:25" ht="14.5" x14ac:dyDescent="0.35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</row>
    <row r="854" spans="1:25" ht="14.5" x14ac:dyDescent="0.35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</row>
    <row r="855" spans="1:25" ht="14.5" x14ac:dyDescent="0.35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</row>
    <row r="856" spans="1:25" ht="14.5" x14ac:dyDescent="0.35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</row>
    <row r="857" spans="1:25" ht="14.5" x14ac:dyDescent="0.35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</row>
    <row r="858" spans="1:25" ht="14.5" x14ac:dyDescent="0.35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</row>
    <row r="859" spans="1:25" ht="14.5" x14ac:dyDescent="0.35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</row>
    <row r="860" spans="1:25" ht="14.5" x14ac:dyDescent="0.35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</row>
    <row r="861" spans="1:25" ht="14.5" x14ac:dyDescent="0.35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</row>
    <row r="862" spans="1:25" ht="14.5" x14ac:dyDescent="0.35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</row>
    <row r="863" spans="1:25" ht="14.5" x14ac:dyDescent="0.35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</row>
    <row r="864" spans="1:25" ht="14.5" x14ac:dyDescent="0.35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</row>
    <row r="865" spans="1:25" ht="14.5" x14ac:dyDescent="0.35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</row>
    <row r="866" spans="1:25" ht="14.5" x14ac:dyDescent="0.35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</row>
    <row r="867" spans="1:25" ht="14.5" x14ac:dyDescent="0.35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</row>
    <row r="868" spans="1:25" ht="14.5" x14ac:dyDescent="0.35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</row>
    <row r="869" spans="1:25" ht="14.5" x14ac:dyDescent="0.35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</row>
    <row r="870" spans="1:25" ht="14.5" x14ac:dyDescent="0.35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</row>
    <row r="871" spans="1:25" ht="14.5" x14ac:dyDescent="0.35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</row>
    <row r="872" spans="1:25" ht="14.5" x14ac:dyDescent="0.35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</row>
    <row r="873" spans="1:25" ht="14.5" x14ac:dyDescent="0.35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</row>
    <row r="874" spans="1:25" ht="14.5" x14ac:dyDescent="0.35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</row>
    <row r="875" spans="1:25" ht="14.5" x14ac:dyDescent="0.35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</row>
    <row r="876" spans="1:25" ht="14.5" x14ac:dyDescent="0.35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</row>
    <row r="877" spans="1:25" ht="14.5" x14ac:dyDescent="0.35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</row>
    <row r="878" spans="1:25" ht="14.5" x14ac:dyDescent="0.35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</row>
    <row r="879" spans="1:25" ht="14.5" x14ac:dyDescent="0.35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</row>
    <row r="880" spans="1:25" ht="14.5" x14ac:dyDescent="0.35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</row>
    <row r="881" spans="1:25" ht="14.5" x14ac:dyDescent="0.35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</row>
    <row r="882" spans="1:25" ht="14.5" x14ac:dyDescent="0.35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</row>
    <row r="883" spans="1:25" ht="14.5" x14ac:dyDescent="0.35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</row>
    <row r="884" spans="1:25" ht="14.5" x14ac:dyDescent="0.35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</row>
    <row r="885" spans="1:25" ht="14.5" x14ac:dyDescent="0.35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</row>
    <row r="886" spans="1:25" ht="14.5" x14ac:dyDescent="0.35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</row>
    <row r="887" spans="1:25" ht="14.5" x14ac:dyDescent="0.35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</row>
    <row r="888" spans="1:25" ht="14.5" x14ac:dyDescent="0.35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</row>
    <row r="889" spans="1:25" ht="14.5" x14ac:dyDescent="0.35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</row>
    <row r="890" spans="1:25" ht="14.5" x14ac:dyDescent="0.35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</row>
    <row r="891" spans="1:25" ht="14.5" x14ac:dyDescent="0.35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</row>
    <row r="892" spans="1:25" ht="14.5" x14ac:dyDescent="0.35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</row>
    <row r="893" spans="1:25" ht="14.5" x14ac:dyDescent="0.3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</row>
    <row r="894" spans="1:25" ht="14.5" x14ac:dyDescent="0.35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</row>
    <row r="895" spans="1:25" ht="14.5" x14ac:dyDescent="0.35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</row>
    <row r="896" spans="1:25" ht="14.5" x14ac:dyDescent="0.35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</row>
    <row r="897" spans="1:25" ht="14.5" x14ac:dyDescent="0.35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</row>
    <row r="898" spans="1:25" ht="14.5" x14ac:dyDescent="0.35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</row>
    <row r="899" spans="1:25" ht="14.5" x14ac:dyDescent="0.35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</row>
    <row r="900" spans="1:25" ht="14.5" x14ac:dyDescent="0.35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</row>
    <row r="901" spans="1:25" ht="14.5" x14ac:dyDescent="0.35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</row>
    <row r="902" spans="1:25" ht="14.5" x14ac:dyDescent="0.35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</row>
    <row r="903" spans="1:25" ht="14.5" x14ac:dyDescent="0.35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</row>
    <row r="904" spans="1:25" ht="14.5" x14ac:dyDescent="0.35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</row>
    <row r="905" spans="1:25" ht="14.5" x14ac:dyDescent="0.35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</row>
    <row r="906" spans="1:25" ht="14.5" x14ac:dyDescent="0.35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</row>
    <row r="907" spans="1:25" ht="14.5" x14ac:dyDescent="0.35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</row>
    <row r="908" spans="1:25" ht="14.5" x14ac:dyDescent="0.35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</row>
    <row r="909" spans="1:25" ht="14.5" x14ac:dyDescent="0.35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</row>
    <row r="910" spans="1:25" ht="14.5" x14ac:dyDescent="0.35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</row>
    <row r="911" spans="1:25" ht="14.5" x14ac:dyDescent="0.35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</row>
    <row r="912" spans="1:25" ht="14.5" x14ac:dyDescent="0.35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</row>
    <row r="913" spans="1:25" ht="14.5" x14ac:dyDescent="0.35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</row>
    <row r="914" spans="1:25" ht="14.5" x14ac:dyDescent="0.35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</row>
    <row r="915" spans="1:25" ht="14.5" x14ac:dyDescent="0.35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</row>
    <row r="916" spans="1:25" ht="14.5" x14ac:dyDescent="0.35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</row>
    <row r="917" spans="1:25" ht="14.5" x14ac:dyDescent="0.35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</row>
    <row r="918" spans="1:25" ht="14.5" x14ac:dyDescent="0.35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</row>
    <row r="919" spans="1:25" ht="14.5" x14ac:dyDescent="0.35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</row>
    <row r="920" spans="1:25" ht="14.5" x14ac:dyDescent="0.35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</row>
    <row r="921" spans="1:25" ht="14.5" x14ac:dyDescent="0.3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</row>
    <row r="922" spans="1:25" ht="14.5" x14ac:dyDescent="0.3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</row>
    <row r="923" spans="1:25" ht="14.5" x14ac:dyDescent="0.3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</row>
    <row r="924" spans="1:25" ht="14.5" x14ac:dyDescent="0.3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</row>
    <row r="925" spans="1:25" ht="14.5" x14ac:dyDescent="0.3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</row>
    <row r="926" spans="1:25" ht="14.5" x14ac:dyDescent="0.3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</row>
    <row r="927" spans="1:25" ht="14.5" x14ac:dyDescent="0.3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</row>
    <row r="928" spans="1:25" ht="14.5" x14ac:dyDescent="0.3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</row>
    <row r="929" spans="1:25" ht="14.5" x14ac:dyDescent="0.3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</row>
    <row r="930" spans="1:25" ht="14.5" x14ac:dyDescent="0.3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</row>
    <row r="931" spans="1:25" ht="14.5" x14ac:dyDescent="0.3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</row>
    <row r="932" spans="1:25" ht="14.5" x14ac:dyDescent="0.3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</row>
    <row r="933" spans="1:25" ht="14.5" x14ac:dyDescent="0.35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</row>
    <row r="934" spans="1:25" ht="14.5" x14ac:dyDescent="0.35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</row>
    <row r="935" spans="1:25" ht="14.5" x14ac:dyDescent="0.35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</row>
    <row r="936" spans="1:25" ht="14.5" x14ac:dyDescent="0.35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</row>
    <row r="937" spans="1:25" ht="14.5" x14ac:dyDescent="0.35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</row>
    <row r="938" spans="1:25" ht="14.5" x14ac:dyDescent="0.35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</row>
    <row r="939" spans="1:25" ht="14.5" x14ac:dyDescent="0.35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</row>
    <row r="940" spans="1:25" ht="14.5" x14ac:dyDescent="0.35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</row>
    <row r="941" spans="1:25" ht="14.5" x14ac:dyDescent="0.35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</row>
    <row r="942" spans="1:25" ht="14.5" x14ac:dyDescent="0.35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</row>
    <row r="943" spans="1:25" ht="14.5" x14ac:dyDescent="0.35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</row>
    <row r="944" spans="1:25" ht="14.5" x14ac:dyDescent="0.35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</row>
    <row r="945" spans="1:25" ht="14.5" x14ac:dyDescent="0.35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</row>
    <row r="946" spans="1:25" ht="14.5" x14ac:dyDescent="0.35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</row>
    <row r="947" spans="1:25" ht="14.5" x14ac:dyDescent="0.35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</row>
    <row r="948" spans="1:25" ht="14.5" x14ac:dyDescent="0.35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</row>
    <row r="949" spans="1:25" ht="14.5" x14ac:dyDescent="0.35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</row>
    <row r="950" spans="1:25" ht="14.5" x14ac:dyDescent="0.35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</row>
    <row r="951" spans="1:25" ht="14.5" x14ac:dyDescent="0.35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</row>
    <row r="952" spans="1:25" ht="14.5" x14ac:dyDescent="0.35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</row>
    <row r="953" spans="1:25" ht="14.5" x14ac:dyDescent="0.35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</row>
    <row r="954" spans="1:25" ht="14.5" x14ac:dyDescent="0.35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</row>
    <row r="955" spans="1:25" ht="14.5" x14ac:dyDescent="0.35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</row>
    <row r="956" spans="1:25" ht="14.5" x14ac:dyDescent="0.35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</row>
    <row r="957" spans="1:25" ht="14.5" x14ac:dyDescent="0.35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</row>
    <row r="958" spans="1:25" ht="14.5" x14ac:dyDescent="0.35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</row>
    <row r="959" spans="1:25" ht="14.5" x14ac:dyDescent="0.35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</row>
    <row r="960" spans="1:25" ht="14.5" x14ac:dyDescent="0.35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</row>
    <row r="961" spans="1:25" ht="14.5" x14ac:dyDescent="0.35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</row>
    <row r="962" spans="1:25" ht="14.5" x14ac:dyDescent="0.35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</row>
    <row r="963" spans="1:25" ht="14.5" x14ac:dyDescent="0.35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</row>
    <row r="964" spans="1:25" ht="14.5" x14ac:dyDescent="0.35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</row>
    <row r="965" spans="1:25" ht="14.5" x14ac:dyDescent="0.35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</row>
    <row r="966" spans="1:25" ht="14.5" x14ac:dyDescent="0.35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</row>
    <row r="967" spans="1:25" ht="14.5" x14ac:dyDescent="0.35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</row>
    <row r="968" spans="1:25" ht="14.5" x14ac:dyDescent="0.35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</row>
    <row r="969" spans="1:25" ht="14.5" x14ac:dyDescent="0.35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</row>
    <row r="970" spans="1:25" ht="14.5" x14ac:dyDescent="0.35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</row>
    <row r="971" spans="1:25" ht="14.5" x14ac:dyDescent="0.35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</row>
    <row r="972" spans="1:25" ht="14.5" x14ac:dyDescent="0.35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</row>
    <row r="973" spans="1:25" ht="14.5" x14ac:dyDescent="0.35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</row>
    <row r="974" spans="1:25" ht="14.5" x14ac:dyDescent="0.35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</row>
    <row r="975" spans="1:25" ht="14.5" x14ac:dyDescent="0.35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</row>
    <row r="976" spans="1:25" ht="14.5" x14ac:dyDescent="0.35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</row>
    <row r="977" spans="1:25" ht="14.5" x14ac:dyDescent="0.35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</row>
    <row r="978" spans="1:25" ht="14.5" x14ac:dyDescent="0.35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</row>
    <row r="979" spans="1:25" ht="14.5" x14ac:dyDescent="0.35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</row>
    <row r="980" spans="1:25" ht="14.5" x14ac:dyDescent="0.35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</row>
    <row r="981" spans="1:25" ht="14.5" x14ac:dyDescent="0.35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</row>
    <row r="982" spans="1:25" ht="14.5" x14ac:dyDescent="0.35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</row>
    <row r="983" spans="1:25" ht="14.5" x14ac:dyDescent="0.35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</row>
    <row r="984" spans="1:25" ht="14.5" x14ac:dyDescent="0.35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</row>
    <row r="985" spans="1:25" ht="14.5" x14ac:dyDescent="0.35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</row>
    <row r="986" spans="1:25" ht="14.5" x14ac:dyDescent="0.35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</row>
    <row r="987" spans="1:25" ht="14.5" x14ac:dyDescent="0.35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</row>
    <row r="988" spans="1:25" ht="14.5" x14ac:dyDescent="0.35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</row>
    <row r="989" spans="1:25" ht="14.5" x14ac:dyDescent="0.35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</row>
    <row r="990" spans="1:25" ht="14.5" x14ac:dyDescent="0.35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</row>
    <row r="991" spans="1:25" ht="14.5" x14ac:dyDescent="0.35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</row>
    <row r="992" spans="1:25" ht="14.5" x14ac:dyDescent="0.35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</row>
    <row r="993" spans="1:25" ht="14.5" x14ac:dyDescent="0.35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</row>
    <row r="994" spans="1:25" ht="14.5" x14ac:dyDescent="0.35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</row>
    <row r="995" spans="1:25" ht="14.5" x14ac:dyDescent="0.35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</row>
    <row r="996" spans="1:25" ht="14.5" x14ac:dyDescent="0.35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</row>
    <row r="997" spans="1:25" ht="14.5" x14ac:dyDescent="0.35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</row>
    <row r="998" spans="1:25" ht="14.5" x14ac:dyDescent="0.35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</row>
    <row r="999" spans="1:25" ht="14.5" x14ac:dyDescent="0.35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</row>
    <row r="1000" spans="1:25" ht="14.5" x14ac:dyDescent="0.35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</row>
    <row r="1001" spans="1:25" ht="14.5" x14ac:dyDescent="0.35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</row>
    <row r="1002" spans="1:25" ht="14.5" x14ac:dyDescent="0.35">
      <c r="A1002" s="217"/>
      <c r="B1002" s="217"/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</row>
    <row r="1003" spans="1:25" ht="14.5" x14ac:dyDescent="0.35">
      <c r="A1003" s="217"/>
      <c r="B1003" s="217"/>
      <c r="C1003" s="217"/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</row>
    <row r="1004" spans="1:25" ht="14.5" x14ac:dyDescent="0.35">
      <c r="A1004" s="217"/>
      <c r="B1004" s="217"/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</row>
  </sheetData>
  <customSheetViews>
    <customSheetView guid="{106B7A88-9D1E-4D22-9DE1-7E44A908E830}" scale="110" showGridLines="0" fitToPage="1" topLeftCell="A43">
      <selection activeCell="D46" sqref="D46"/>
      <pageMargins left="0.7" right="0.7" top="0.75" bottom="0.75" header="0.3" footer="0.3"/>
      <pageSetup paperSize="9" scale="37" fitToHeight="0" orientation="landscape" r:id="rId1"/>
    </customSheetView>
    <customSheetView guid="{CF50DB9B-0F8D-41A5-9576-F9345942CE97}" scale="160" showGridLines="0" topLeftCell="A21">
      <selection activeCell="B25" sqref="B25"/>
      <pageMargins left="0.7" right="0.7" top="0.75" bottom="0.75" header="0.3" footer="0.3"/>
      <pageSetup paperSize="9" orientation="portrait" r:id="rId2"/>
    </customSheetView>
    <customSheetView guid="{B8CD8764-8103-4BA7-A294-F5FED5EA74ED}" scale="130" showGridLines="0" topLeftCell="A7">
      <selection activeCell="B52" sqref="B52:B54"/>
      <pageMargins left="0.7" right="0.7" top="0.75" bottom="0.75" header="0.3" footer="0.3"/>
      <pageSetup paperSize="9" orientation="portrait" r:id="rId3"/>
    </customSheetView>
    <customSheetView guid="{845F3A43-EF96-4057-9777-D2F2301CC149}" scale="110" showPageBreaks="1" showGridLines="0" fitToPage="1" topLeftCell="A31">
      <selection activeCell="B48" sqref="B48"/>
      <pageMargins left="0.7" right="0.7" top="0.75" bottom="0.75" header="0.3" footer="0.3"/>
      <pageSetup paperSize="9" scale="37" fitToHeight="0" orientation="landscape" r:id="rId4"/>
    </customSheetView>
  </customSheetViews>
  <pageMargins left="0.7" right="0.7" top="0.75" bottom="0.75" header="0.3" footer="0.3"/>
  <pageSetup paperSize="9" scale="37" fitToHeight="0" orientation="landscape" r:id="rId5"/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7"/>
  <sheetViews>
    <sheetView showGridLines="0" zoomScale="90" zoomScaleNormal="9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H54" sqref="H54"/>
    </sheetView>
  </sheetViews>
  <sheetFormatPr baseColWidth="10" defaultColWidth="17.26953125" defaultRowHeight="15" customHeight="1" x14ac:dyDescent="0.25"/>
  <cols>
    <col min="1" max="1" width="71.26953125" bestFit="1" customWidth="1"/>
    <col min="2" max="7" width="20.453125" customWidth="1"/>
    <col min="8" max="8" width="15.7265625" customWidth="1"/>
    <col min="9" max="9" width="15.26953125" customWidth="1"/>
    <col min="10" max="12" width="12.54296875" customWidth="1"/>
    <col min="13" max="13" width="22.7265625" customWidth="1"/>
    <col min="14" max="19" width="12.54296875" customWidth="1"/>
    <col min="20" max="26" width="10" customWidth="1"/>
  </cols>
  <sheetData>
    <row r="1" spans="1:26" ht="15" customHeight="1" x14ac:dyDescent="0.35">
      <c r="A1" s="128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</row>
    <row r="2" spans="1:26" ht="15" customHeight="1" x14ac:dyDescent="0.35">
      <c r="A2" s="129" t="s">
        <v>91</v>
      </c>
      <c r="B2" s="38"/>
      <c r="C2" s="38"/>
      <c r="D2" s="38"/>
      <c r="E2" s="38"/>
      <c r="F2" s="38"/>
      <c r="G2" s="38"/>
      <c r="H2" s="210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5" customHeight="1" x14ac:dyDescent="0.35">
      <c r="A3" s="46"/>
      <c r="B3" s="130" t="s">
        <v>189</v>
      </c>
      <c r="C3" s="130" t="s">
        <v>183</v>
      </c>
      <c r="D3" s="130" t="s">
        <v>296</v>
      </c>
      <c r="E3" s="130" t="s">
        <v>185</v>
      </c>
      <c r="F3" s="130" t="s">
        <v>186</v>
      </c>
      <c r="G3" s="130" t="s">
        <v>184</v>
      </c>
      <c r="H3" s="271" t="s">
        <v>240</v>
      </c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15" customHeight="1" x14ac:dyDescent="0.35">
      <c r="A4" s="32" t="s">
        <v>138</v>
      </c>
      <c r="B4" s="262">
        <f>-('Oversikt Variabler'!B25*'Oversikt Variabler'!B42*4)-'Oversikt Variabler'!B25*'Oversikt Variabler'!B43</f>
        <v>-158665.5</v>
      </c>
      <c r="C4" s="262">
        <f>-('Oversikt Variabler'!B25*'Oversikt Variabler'!B47*4)</f>
        <v>-63756</v>
      </c>
      <c r="D4" s="262">
        <f>-('Oversikt Variabler'!B25*('Oversikt Variabler'!B51*8))</f>
        <v>-28980</v>
      </c>
      <c r="E4" s="262">
        <f>-('Oversikt Variabler'!B25*(('Oversikt Variabler'!B54*6)+('Oversikt Variabler'!B55*6)+('Oversikt Variabler'!B56*6)+('Oversikt Variabler'!B57*6)+'Oversikt Variabler'!B58+'Oversikt Variabler'!B59))</f>
        <v>-84042</v>
      </c>
      <c r="F4" s="262">
        <f>-('Oversikt Variabler'!B25*'Oversikt Variabler'!B66)</f>
        <v>-17388</v>
      </c>
      <c r="G4" s="262">
        <f>-('Oversikt Variabler'!B25*(SUM('Oversikt Variabler'!$B$71:$B$72)))</f>
        <v>-5796</v>
      </c>
      <c r="H4" s="272">
        <f t="shared" ref="H4:H16" si="0">SUM(B4:G4)</f>
        <v>-358627.5</v>
      </c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5" customHeight="1" x14ac:dyDescent="0.35">
      <c r="A5" s="32" t="s">
        <v>74</v>
      </c>
      <c r="B5" s="262">
        <f>-('Oversikt Variabler'!B26*'Oversikt Variabler'!B42*4)+'Oversikt Variabler'!B26*'Oversikt Variabler'!B43</f>
        <v>-7850</v>
      </c>
      <c r="C5" s="262">
        <f>-('Oversikt Variabler'!B26*'Oversikt Variabler'!B47*4)</f>
        <v>-4400</v>
      </c>
      <c r="D5" s="262">
        <f>-('Oversikt Variabler'!B26*('Oversikt Variabler'!B51*8))</f>
        <v>-2000</v>
      </c>
      <c r="E5" s="262">
        <f>-('Oversikt Variabler'!B26*(('Oversikt Variabler'!B54*6)+('Oversikt Variabler'!B55*6)+('Oversikt Variabler'!B56*6)+('Oversikt Variabler'!B57*6)+'Oversikt Variabler'!B58+'Oversikt Variabler'!B59))</f>
        <v>-5800</v>
      </c>
      <c r="F5" s="262">
        <f>-('Oversikt Variabler'!B26*'Oversikt Variabler'!B66)</f>
        <v>-1200</v>
      </c>
      <c r="G5" s="262">
        <f>-('Oversikt Variabler'!B26*(SUM('Oversikt Variabler'!$B$71:$B$72)))</f>
        <v>-400</v>
      </c>
      <c r="H5" s="273">
        <f t="shared" si="0"/>
        <v>-21650</v>
      </c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15" customHeight="1" x14ac:dyDescent="0.35">
      <c r="A6" s="32" t="s">
        <v>283</v>
      </c>
      <c r="B6" s="262">
        <f>-('Oversikt Variabler'!B27*('Oversikt Variabler'!B42*4+'Oversikt Variabler'!B43))</f>
        <v>-131400</v>
      </c>
      <c r="C6" s="262">
        <f>-('Oversikt Variabler'!B27*'Oversikt Variabler'!B47*4)</f>
        <v>-52800</v>
      </c>
      <c r="D6" s="262">
        <f>-('Oversikt Variabler'!B27*('Oversikt Variabler'!B51*8))</f>
        <v>-24000</v>
      </c>
      <c r="E6" s="131" t="s">
        <v>286</v>
      </c>
      <c r="F6" s="131" t="s">
        <v>286</v>
      </c>
      <c r="G6" s="131" t="s">
        <v>286</v>
      </c>
      <c r="H6" s="273">
        <f t="shared" si="0"/>
        <v>-208200</v>
      </c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5" customHeight="1" x14ac:dyDescent="0.35">
      <c r="A7" s="32" t="s">
        <v>319</v>
      </c>
      <c r="B7" s="264">
        <f>-('Oversikt Variabler'!B28*'Oversikt Variabler'!B42*4)</f>
        <v>-131600</v>
      </c>
      <c r="C7" s="264">
        <f>-('Oversikt Variabler'!B30*'Oversikt Variabler'!B47*4)</f>
        <v>-79200</v>
      </c>
      <c r="D7" s="264">
        <f>-('Oversikt Variabler'!B32*('Oversikt Variabler'!B51*8))</f>
        <v>-24000</v>
      </c>
      <c r="E7" s="265">
        <f>-('Oversikt Variabler'!B34*(SUM('Oversikt Variabler'!B54:B57)*6)+('Oversikt Variabler'!B35*(SUM('Oversikt Variabler'!B58:B59))))</f>
        <v>-70400</v>
      </c>
      <c r="F7" s="131" t="s">
        <v>286</v>
      </c>
      <c r="G7" s="131" t="s">
        <v>286</v>
      </c>
      <c r="H7" s="273">
        <f t="shared" si="0"/>
        <v>-305200</v>
      </c>
      <c r="I7" s="669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5" customHeight="1" x14ac:dyDescent="0.35">
      <c r="A8" s="32" t="s">
        <v>288</v>
      </c>
      <c r="B8" s="264">
        <f>-('Oversikt Variabler'!B29*'Oversikt Variabler'!B43)</f>
        <v>-40300</v>
      </c>
      <c r="C8" s="131" t="s">
        <v>286</v>
      </c>
      <c r="D8" s="134" t="s">
        <v>286</v>
      </c>
      <c r="E8" s="131"/>
      <c r="F8" s="131" t="s">
        <v>286</v>
      </c>
      <c r="G8" s="131" t="s">
        <v>286</v>
      </c>
      <c r="H8" s="273">
        <f t="shared" si="0"/>
        <v>-40300</v>
      </c>
      <c r="I8" s="662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</row>
    <row r="9" spans="1:26" s="451" customFormat="1" ht="15" customHeight="1" x14ac:dyDescent="0.35">
      <c r="A9" s="32" t="s">
        <v>644</v>
      </c>
      <c r="B9" s="264"/>
      <c r="C9" s="131"/>
      <c r="D9" s="264">
        <f>-'Oversikt Variabler'!B33*'Oversikt Variabler'!B51*8</f>
        <v>0</v>
      </c>
      <c r="E9" s="131"/>
      <c r="F9" s="131"/>
      <c r="G9" s="131"/>
      <c r="H9" s="273">
        <f t="shared" si="0"/>
        <v>0</v>
      </c>
      <c r="I9" s="662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</row>
    <row r="10" spans="1:26" ht="15" customHeight="1" x14ac:dyDescent="0.35">
      <c r="A10" s="135" t="s">
        <v>324</v>
      </c>
      <c r="B10" s="277">
        <f>Prosjekter!$E$7*-0.6</f>
        <v>-36000</v>
      </c>
      <c r="C10" s="277">
        <f>Prosjekter!$E$7*-0.4</f>
        <v>-24000</v>
      </c>
      <c r="D10" s="134"/>
      <c r="E10" s="131"/>
      <c r="F10" s="131"/>
      <c r="G10" s="131"/>
      <c r="H10" s="274">
        <f t="shared" si="0"/>
        <v>-60000</v>
      </c>
      <c r="I10" s="662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</row>
    <row r="11" spans="1:26" ht="15" customHeight="1" x14ac:dyDescent="0.35">
      <c r="A11" s="32" t="s">
        <v>298</v>
      </c>
      <c r="B11" s="131" t="s">
        <v>286</v>
      </c>
      <c r="C11" s="264">
        <f>-('Oversikt Variabler'!B31*'Oversikt Variabler'!B47*4)</f>
        <v>-127600</v>
      </c>
      <c r="D11" s="131" t="s">
        <v>286</v>
      </c>
      <c r="E11" s="265">
        <f>-('Oversikt Variabler'!B36*(SUM('Oversikt Variabler'!B56:B57))*6)</f>
        <v>-45000</v>
      </c>
      <c r="F11" s="265">
        <f>-('Oversikt Variabler'!B38*'Oversikt Variabler'!B66)</f>
        <v>-85241.379310344826</v>
      </c>
      <c r="G11" s="265">
        <f>-('Oversikt Variabler'!B37*('Oversikt Variabler'!B71+'Oversikt Variabler'!B72))</f>
        <v>-14400</v>
      </c>
      <c r="H11" s="273">
        <f t="shared" si="0"/>
        <v>-272241.37931034481</v>
      </c>
      <c r="I11" s="662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5" customHeight="1" x14ac:dyDescent="0.35">
      <c r="A12" s="32" t="s">
        <v>325</v>
      </c>
      <c r="B12" s="262">
        <f>-('Oversikt Variabler'!B4*(('Oversikt Variabler'!B7*'Oversikt Variabler'!B42*4)+('Oversikt Variabler'!B43*'Oversikt Variabler'!B9)))</f>
        <v>-1004699.7999999999</v>
      </c>
      <c r="C12" s="262">
        <f>-('Oversikt Variabler'!B4*'Oversikt Variabler'!B7*'Oversikt Variabler'!B47*4)</f>
        <v>-404577.35999999993</v>
      </c>
      <c r="D12" s="262">
        <f>-('Oversikt Variabler'!B4*'Oversikt Variabler'!B17*'Oversikt Variabler'!B51*10)</f>
        <v>-95779.90625</v>
      </c>
      <c r="E12" s="262">
        <f>-'Oversikt Variabler'!B4*(('Oversikt Variabler'!B10*6*'Oversikt Variabler'!B54)+('Oversikt Variabler'!B10*6*'Oversikt Variabler'!B56)+('Oversikt Variabler'!B11*6*'Oversikt Variabler'!B57)+('Oversikt Variabler'!B11*6*'Oversikt Variabler'!B55)+('Oversikt Variabler'!B12*'Oversikt Variabler'!B58)+('Oversikt Variabler'!B13*'Oversikt Variabler'!B59))</f>
        <v>-229170.84999999992</v>
      </c>
      <c r="F12" s="262">
        <f>-('Oversikt Variabler'!B4*'Oversikt Variabler'!B14*'Oversikt Variabler'!B66)</f>
        <v>-83169.84</v>
      </c>
      <c r="G12" s="262">
        <f>-('Oversikt Variabler'!B4*('Oversikt Variabler'!B15*'Oversikt Variabler'!B71+'Oversikt Variabler'!B16*'Oversikt Variabler'!B72))</f>
        <v>-13251.910000000002</v>
      </c>
      <c r="H12" s="273">
        <f t="shared" si="0"/>
        <v>-1830649.6662499998</v>
      </c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s="255" customFormat="1" ht="15" customHeight="1" x14ac:dyDescent="0.35">
      <c r="A13" s="32" t="s">
        <v>340</v>
      </c>
      <c r="B13" s="266">
        <f>-(('Oversikt Variabler'!B4*('Oversikt Variabler'!B44*(SUM('Oversikt Variabler'!B81:B82)))))</f>
        <v>-500953.80000000005</v>
      </c>
      <c r="C13" s="266">
        <f>-'Oversikt Variabler'!B4*'Oversikt Variabler'!B48*'Oversikt Variabler'!B83</f>
        <v>-137164.41</v>
      </c>
      <c r="D13" s="131"/>
      <c r="E13" s="266">
        <f>-'Oversikt Variabler'!B4*('Oversikt Variabler'!B60*'Oversikt Variabler'!B84+'Oversikt Variabler'!B61*'Oversikt Variabler'!B85+'Oversikt Variabler'!B62*'Oversikt Variabler'!B86+'Oversikt Variabler'!B63*'Oversikt Variabler'!B87)</f>
        <v>-73717.875</v>
      </c>
      <c r="F13" s="266">
        <f>-'Oversikt Variabler'!B4*'Oversikt Variabler'!B68*'Oversikt Variabler'!B88</f>
        <v>-41747.759999999995</v>
      </c>
      <c r="G13" s="131"/>
      <c r="H13" s="275">
        <f t="shared" si="0"/>
        <v>-753583.84500000009</v>
      </c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5" customHeight="1" x14ac:dyDescent="0.35">
      <c r="A14" s="32" t="s">
        <v>577</v>
      </c>
      <c r="B14" s="277">
        <f>'Oversikt Variabler'!B45/'Oversikt Variabler'!B78*Program!H14</f>
        <v>-129530.4347826087</v>
      </c>
      <c r="C14" s="277">
        <f>'Oversikt Variabler'!B49/'Oversikt Variabler'!B78*Program!H14</f>
        <v>-53565.217391304352</v>
      </c>
      <c r="D14" s="277">
        <f>'Oversikt Variabler'!B52/'Oversikt Variabler'!B78*Program!H14</f>
        <v>-17043.478260869564</v>
      </c>
      <c r="E14" s="277">
        <f>'Oversikt Variabler'!B64/'Oversikt Variabler'!B78*Program!H14</f>
        <v>-64278.260869565216</v>
      </c>
      <c r="F14" s="277">
        <f>'Oversikt Variabler'!B69/'Oversikt Variabler'!B78*Program!H14</f>
        <v>-11686.956521739132</v>
      </c>
      <c r="G14" s="277">
        <f>'Oversikt Variabler'!B77/'Oversikt Variabler'!B78*Program!H14</f>
        <v>-3895.6521739130435</v>
      </c>
      <c r="H14" s="275">
        <f>-'Oversikt Variabler'!B127</f>
        <v>-280000</v>
      </c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5" customHeight="1" x14ac:dyDescent="0.35">
      <c r="A15" s="32" t="s">
        <v>292</v>
      </c>
      <c r="B15" s="261">
        <v>0</v>
      </c>
      <c r="C15" s="262">
        <v>0</v>
      </c>
      <c r="D15" s="262">
        <v>0</v>
      </c>
      <c r="E15" s="262">
        <v>0</v>
      </c>
      <c r="F15" s="262">
        <v>0</v>
      </c>
      <c r="G15" s="262">
        <v>0</v>
      </c>
      <c r="H15" s="273">
        <f t="shared" si="0"/>
        <v>0</v>
      </c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s="269" customFormat="1" ht="15" customHeight="1" x14ac:dyDescent="0.35">
      <c r="A16" s="75" t="s">
        <v>291</v>
      </c>
      <c r="B16" s="278">
        <f>-'Oversikt Variabler'!$B$22*'Oversikt Variabler'!$B$4*('Oversikt Variabler'!$B$42*4)</f>
        <v>-10810</v>
      </c>
      <c r="C16" s="279">
        <f>-'Oversikt Variabler'!$B$22*'Oversikt Variabler'!$B$3*('Oversikt Variabler'!$B$47*4)</f>
        <v>-5060</v>
      </c>
      <c r="D16" s="279">
        <f>-('Oversikt Variabler'!$B$51*8)*'Oversikt Variabler'!$B$3*'Oversikt Variabler'!$B$23</f>
        <v>-1840</v>
      </c>
      <c r="E16" s="279">
        <f>('Oversikt Variabler'!$B$3*'Oversikt Variabler'!$B$24)*(('Oversikt Variabler'!$B$54+'Oversikt Variabler'!$B$55+'Oversikt Variabler'!$B$56+'Oversikt Variabler'!$B$57)*6)+('Oversikt Variabler'!$B$3*'Oversikt Variabler'!$B$24*('Oversikt Variabler'!$B$58+'Oversikt Variabler'!$B$59))</f>
        <v>4002</v>
      </c>
      <c r="F16" s="279">
        <f>-'Oversikt Variabler'!$B$24*'Oversikt Variabler'!$B$3*'Oversikt Variabler'!$B$66</f>
        <v>-828</v>
      </c>
      <c r="G16" s="261">
        <f t="shared" ref="G16" si="1">-G50</f>
        <v>0</v>
      </c>
      <c r="H16" s="273">
        <f t="shared" si="0"/>
        <v>-14536</v>
      </c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</row>
    <row r="17" spans="1:26" ht="15" customHeight="1" x14ac:dyDescent="0.35">
      <c r="A17" s="206" t="s">
        <v>240</v>
      </c>
      <c r="B17" s="276">
        <f t="shared" ref="B17:G17" si="2">SUM(B4:B16)</f>
        <v>-2151809.5347826085</v>
      </c>
      <c r="C17" s="276">
        <f t="shared" si="2"/>
        <v>-952122.98739130422</v>
      </c>
      <c r="D17" s="276">
        <f t="shared" si="2"/>
        <v>-193643.38451086957</v>
      </c>
      <c r="E17" s="276">
        <f t="shared" si="2"/>
        <v>-568406.98586956516</v>
      </c>
      <c r="F17" s="276">
        <f t="shared" si="2"/>
        <v>-241261.93583208398</v>
      </c>
      <c r="G17" s="276">
        <f t="shared" si="2"/>
        <v>-37743.562173913044</v>
      </c>
      <c r="H17" s="276">
        <f>SUM(H4:H16)</f>
        <v>-4144988.3905603448</v>
      </c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</row>
    <row r="18" spans="1:26" ht="15" customHeight="1" x14ac:dyDescent="0.35">
      <c r="A18" s="217"/>
      <c r="B18" s="217"/>
      <c r="C18" s="217"/>
      <c r="D18" s="75"/>
      <c r="E18" s="75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5" customHeight="1" x14ac:dyDescent="0.35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15" customHeight="1" x14ac:dyDescent="0.35">
      <c r="A20" s="93" t="s">
        <v>95</v>
      </c>
      <c r="B20" s="38"/>
      <c r="C20" s="38"/>
      <c r="D20" s="38"/>
      <c r="E20" s="38"/>
      <c r="F20" s="38"/>
      <c r="G20" s="38"/>
      <c r="H20" s="63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5" customHeight="1" x14ac:dyDescent="0.35">
      <c r="A21" s="46"/>
      <c r="B21" s="130" t="s">
        <v>189</v>
      </c>
      <c r="C21" s="130" t="s">
        <v>183</v>
      </c>
      <c r="D21" s="130" t="s">
        <v>296</v>
      </c>
      <c r="E21" s="130" t="s">
        <v>185</v>
      </c>
      <c r="F21" s="130" t="s">
        <v>186</v>
      </c>
      <c r="G21" s="130" t="s">
        <v>184</v>
      </c>
      <c r="H21" s="69" t="s">
        <v>240</v>
      </c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</row>
    <row r="22" spans="1:26" ht="15" customHeight="1" x14ac:dyDescent="0.35">
      <c r="A22" s="32" t="s">
        <v>283</v>
      </c>
      <c r="B22" s="263">
        <f>'Oversikt Variabler'!B27*('Oversikt Variabler'!B42*4+'Oversikt Variabler'!B43)</f>
        <v>131400</v>
      </c>
      <c r="C22" s="262">
        <f>'Oversikt Variabler'!B27*'Oversikt Variabler'!B47*4</f>
        <v>52800</v>
      </c>
      <c r="D22" s="262">
        <f>'Oversikt Variabler'!B27*'Oversikt Variabler'!B51*8</f>
        <v>24000</v>
      </c>
      <c r="E22" s="131" t="s">
        <v>286</v>
      </c>
      <c r="F22" s="131" t="s">
        <v>286</v>
      </c>
      <c r="G22" s="131" t="s">
        <v>286</v>
      </c>
      <c r="H22" s="137">
        <f t="shared" ref="H22:H50" si="3">SUM(B22:G22)</f>
        <v>208200</v>
      </c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</row>
    <row r="23" spans="1:26" ht="15" customHeight="1" x14ac:dyDescent="0.35">
      <c r="A23" s="32" t="s">
        <v>326</v>
      </c>
      <c r="B23" s="263">
        <f t="shared" ref="B23:G23" si="4">-B4</f>
        <v>158665.5</v>
      </c>
      <c r="C23" s="262">
        <f t="shared" si="4"/>
        <v>63756</v>
      </c>
      <c r="D23" s="262">
        <f t="shared" si="4"/>
        <v>28980</v>
      </c>
      <c r="E23" s="262">
        <f t="shared" si="4"/>
        <v>84042</v>
      </c>
      <c r="F23" s="262">
        <f t="shared" si="4"/>
        <v>17388</v>
      </c>
      <c r="G23" s="262">
        <f t="shared" si="4"/>
        <v>5796</v>
      </c>
      <c r="H23" s="137">
        <f t="shared" si="3"/>
        <v>358627.5</v>
      </c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5" customHeight="1" x14ac:dyDescent="0.35">
      <c r="A24" s="32" t="s">
        <v>327</v>
      </c>
      <c r="B24" s="277">
        <f>'Oversikt Variabler'!B104*'Oversikt Variabler'!D104</f>
        <v>2500</v>
      </c>
      <c r="C24" s="277">
        <f>'Oversikt Variabler'!B109*'Oversikt Variabler'!D109</f>
        <v>2500</v>
      </c>
      <c r="D24" s="131" t="s">
        <v>286</v>
      </c>
      <c r="E24" s="131" t="s">
        <v>286</v>
      </c>
      <c r="F24" s="131" t="s">
        <v>286</v>
      </c>
      <c r="G24" s="131" t="s">
        <v>286</v>
      </c>
      <c r="H24" s="137">
        <f t="shared" si="3"/>
        <v>5000</v>
      </c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</row>
    <row r="25" spans="1:26" ht="15" customHeight="1" x14ac:dyDescent="0.35">
      <c r="A25" s="32" t="s">
        <v>328</v>
      </c>
      <c r="B25" s="277">
        <f>'Oversikt Variabler'!B105*'Oversikt Variabler'!D105</f>
        <v>2500</v>
      </c>
      <c r="C25" s="277">
        <f>'Oversikt Variabler'!B110*'Oversikt Variabler'!D110</f>
        <v>2500</v>
      </c>
      <c r="D25" s="131" t="s">
        <v>286</v>
      </c>
      <c r="E25" s="131" t="s">
        <v>286</v>
      </c>
      <c r="F25" s="131" t="s">
        <v>286</v>
      </c>
      <c r="G25" s="131" t="s">
        <v>286</v>
      </c>
      <c r="H25" s="137">
        <f t="shared" si="3"/>
        <v>5000</v>
      </c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</row>
    <row r="26" spans="1:26" ht="15" customHeight="1" x14ac:dyDescent="0.35">
      <c r="A26" s="32" t="s">
        <v>329</v>
      </c>
      <c r="B26" s="277">
        <f>'Oversikt Variabler'!B106*'Oversikt Variabler'!D106</f>
        <v>2500</v>
      </c>
      <c r="C26" s="277">
        <f>'Oversikt Variabler'!B111*'Oversikt Variabler'!D111</f>
        <v>2500</v>
      </c>
      <c r="D26" s="131" t="s">
        <v>286</v>
      </c>
      <c r="E26" s="131" t="s">
        <v>286</v>
      </c>
      <c r="F26" s="131" t="s">
        <v>286</v>
      </c>
      <c r="G26" s="131" t="s">
        <v>286</v>
      </c>
      <c r="H26" s="137">
        <f t="shared" si="3"/>
        <v>5000</v>
      </c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5" customHeight="1" x14ac:dyDescent="0.35">
      <c r="A27" s="32" t="s">
        <v>96</v>
      </c>
      <c r="B27" s="266">
        <f>'Oversikt Variabler'!B44*'Oversikt Variabler'!B94</f>
        <v>480000</v>
      </c>
      <c r="C27" s="266">
        <f>'Oversikt Variabler'!B95*'Oversikt Variabler'!B48</f>
        <v>130000</v>
      </c>
      <c r="D27" s="131" t="s">
        <v>286</v>
      </c>
      <c r="E27" s="266">
        <f>('Oversikt Variabler'!B96*'Oversikt Variabler'!B60)+('Oversikt Variabler'!B97*'Oversikt Variabler'!B62)</f>
        <v>65000</v>
      </c>
      <c r="F27" s="266">
        <f>'Oversikt Variabler'!B98</f>
        <v>35000</v>
      </c>
      <c r="G27" s="131">
        <f>'Oversikt Variabler'!B100*('Oversikt Variabler'!B73+'Oversikt Variabler'!B75)</f>
        <v>0</v>
      </c>
      <c r="H27" s="137">
        <f t="shared" si="3"/>
        <v>710000</v>
      </c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</row>
    <row r="28" spans="1:26" s="270" customFormat="1" ht="15" customHeight="1" x14ac:dyDescent="0.35">
      <c r="A28" s="79" t="s">
        <v>648</v>
      </c>
      <c r="B28" s="266">
        <f>'Oversikt Variabler'!B44*2*'Oversikt Variabler'!B119*'Oversikt Variabler'!D119</f>
        <v>6000</v>
      </c>
      <c r="C28" s="266">
        <f>'Oversikt Variabler'!B48*'Oversikt Variabler'!B119*'Oversikt Variabler'!D119*2</f>
        <v>3000</v>
      </c>
      <c r="D28" s="131" t="s">
        <v>286</v>
      </c>
      <c r="E28" s="266">
        <f>('Oversikt Variabler'!B119*'Oversikt Variabler'!D119*('Oversikt Variabler'!B60+'Oversikt Variabler'!B62))*2</f>
        <v>3000</v>
      </c>
      <c r="F28" s="131" t="s">
        <v>286</v>
      </c>
      <c r="G28" s="131" t="s">
        <v>286</v>
      </c>
      <c r="H28" s="137">
        <f>SUM(B28:G28)</f>
        <v>12000</v>
      </c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</row>
    <row r="29" spans="1:26" s="270" customFormat="1" ht="15" customHeight="1" x14ac:dyDescent="0.35">
      <c r="A29" s="79" t="s">
        <v>649</v>
      </c>
      <c r="B29" s="266">
        <f>'Oversikt Variabler'!B44*2*'Oversikt Variabler'!C119*'Oversikt Variabler'!D119</f>
        <v>12800</v>
      </c>
      <c r="C29" s="266">
        <f>'Oversikt Variabler'!C119*'Oversikt Variabler'!D119*'Oversikt Variabler'!B48*2</f>
        <v>6400</v>
      </c>
      <c r="D29" s="131" t="s">
        <v>286</v>
      </c>
      <c r="E29" s="266">
        <f>('Oversikt Variabler'!B60+'Oversikt Variabler'!B62)*'Oversikt Variabler'!C119*'Oversikt Variabler'!D119*2</f>
        <v>6400</v>
      </c>
      <c r="F29" s="131" t="s">
        <v>286</v>
      </c>
      <c r="G29" s="131" t="s">
        <v>286</v>
      </c>
      <c r="H29" s="596">
        <f>SUM(B29:G29)</f>
        <v>25600</v>
      </c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5" customHeight="1" x14ac:dyDescent="0.35">
      <c r="A30" s="32" t="s">
        <v>330</v>
      </c>
      <c r="B30" s="265">
        <f>'Oversikt Variabler'!B115*'Oversikt Variabler'!D115*('Oversikt Variabler'!B42+'Oversikt Variabler'!B43)</f>
        <v>37440</v>
      </c>
      <c r="C30" s="265">
        <f>'Oversikt Variabler'!B115*'Oversikt Variabler'!D115*'Oversikt Variabler'!B47</f>
        <v>10560</v>
      </c>
      <c r="D30" s="265">
        <f>'Oversikt Variabler'!B115*'Oversikt Variabler'!D115*('Oversikt Variabler'!B51*2)</f>
        <v>4800</v>
      </c>
      <c r="E30" s="265">
        <f>('Oversikt Variabler'!B54+'Oversikt Variabler'!B55+'Oversikt Variabler'!B56+'Oversikt Variabler'!B57+'Oversikt Variabler'!B58+'Oversikt Variabler'!B59)*'Oversikt Variabler'!B115*'Oversikt Variabler'!D115</f>
        <v>17280</v>
      </c>
      <c r="F30" s="131" t="s">
        <v>286</v>
      </c>
      <c r="G30" s="265">
        <f>SUM('Oversikt Variabler'!B71:B72)*'Oversikt Variabler'!B115*'Oversikt Variabler'!D115</f>
        <v>3840</v>
      </c>
      <c r="H30" s="137">
        <f t="shared" si="3"/>
        <v>73920</v>
      </c>
      <c r="I30" s="669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</row>
    <row r="31" spans="1:26" ht="15" customHeight="1" x14ac:dyDescent="0.35">
      <c r="A31" s="32" t="s">
        <v>331</v>
      </c>
      <c r="B31" s="265">
        <f>('Oversikt Variabler'!B42+'Oversikt Variabler'!B43)*'Oversikt Variabler'!C115*'Oversikt Variabler'!D115</f>
        <v>29484</v>
      </c>
      <c r="C31" s="265">
        <f>'Oversikt Variabler'!B47*'Oversikt Variabler'!C115*'Oversikt Variabler'!D115</f>
        <v>8316</v>
      </c>
      <c r="D31" s="265">
        <f>'Oversikt Variabler'!B51*'Oversikt Variabler'!C115*'Oversikt Variabler'!D115*2</f>
        <v>3780</v>
      </c>
      <c r="E31" s="265">
        <f>'Oversikt Variabler'!C115*'Oversikt Variabler'!D115*('Oversikt Variabler'!B54+'Oversikt Variabler'!B55+'Oversikt Variabler'!B56+'Oversikt Variabler'!B57+'Oversikt Variabler'!B58+'Oversikt Variabler'!B59)</f>
        <v>13608</v>
      </c>
      <c r="F31" s="131" t="s">
        <v>286</v>
      </c>
      <c r="G31" s="265">
        <f>SUM('Oversikt Variabler'!B71:B72)*'Oversikt Variabler'!C115*'Oversikt Variabler'!D115</f>
        <v>3024</v>
      </c>
      <c r="H31" s="596">
        <f t="shared" si="3"/>
        <v>58212</v>
      </c>
      <c r="I31" s="662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</row>
    <row r="32" spans="1:26" ht="15" customHeight="1" x14ac:dyDescent="0.35">
      <c r="A32" s="32" t="s">
        <v>332</v>
      </c>
      <c r="B32" s="265">
        <f>('Oversikt Variabler'!B42+'Oversikt Variabler'!B43+('Oversikt Variabler'!B44*5))*'Oversikt Variabler'!B114*'Oversikt Variabler'!D114</f>
        <v>39200</v>
      </c>
      <c r="C32" s="265">
        <f>'Oversikt Variabler'!B114*'Oversikt Variabler'!D114*('Oversikt Variabler'!B47+'Oversikt Variabler'!B48*4)</f>
        <v>12000</v>
      </c>
      <c r="D32" s="265">
        <f>'Oversikt Variabler'!B51*'Oversikt Variabler'!B114*'Oversikt Variabler'!D114*2</f>
        <v>4000</v>
      </c>
      <c r="E32" s="265">
        <f>('Oversikt Variabler'!B54+'Oversikt Variabler'!B55+'Oversikt Variabler'!B56+'Oversikt Variabler'!B57+'Oversikt Variabler'!B60*4+'Oversikt Variabler'!B62*4)*'Oversikt Variabler'!B114*'Oversikt Variabler'!D114</f>
        <v>9600</v>
      </c>
      <c r="F32" s="265">
        <f>'Oversikt Variabler'!B66*'Oversikt Variabler'!B114*'Oversikt Variabler'!D114</f>
        <v>9600</v>
      </c>
      <c r="G32" s="265">
        <f>SUM('Oversikt Variabler'!B71:B72)*'Oversikt Variabler'!B114*'Oversikt Variabler'!D114</f>
        <v>3200</v>
      </c>
      <c r="H32" s="137">
        <f t="shared" si="3"/>
        <v>77600</v>
      </c>
      <c r="I32" s="662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</row>
    <row r="33" spans="1:26" ht="15" customHeight="1" x14ac:dyDescent="0.35">
      <c r="A33" s="32" t="s">
        <v>333</v>
      </c>
      <c r="B33" s="265">
        <f>('Oversikt Variabler'!B42+'Oversikt Variabler'!B43+('Oversikt Variabler'!B44*5))*'Oversikt Variabler'!C114*'Oversikt Variabler'!D114</f>
        <v>23275</v>
      </c>
      <c r="C33" s="265">
        <f>('Oversikt Variabler'!B47+'Oversikt Variabler'!B48*4)*'Oversikt Variabler'!C114*'Oversikt Variabler'!D114</f>
        <v>7125</v>
      </c>
      <c r="D33" s="265">
        <f>'Oversikt Variabler'!C114*'Oversikt Variabler'!D114*'Oversikt Variabler'!B51*2</f>
        <v>2375</v>
      </c>
      <c r="E33" s="265">
        <f>'Oversikt Variabler'!C114*'Oversikt Variabler'!D114*(('Oversikt Variabler'!B54+'Oversikt Variabler'!B55+'Oversikt Variabler'!B56+'Oversikt Variabler'!B57)+('Oversikt Variabler'!B60*4+'Oversikt Variabler'!B62*4))</f>
        <v>5700</v>
      </c>
      <c r="F33" s="265">
        <f>'Oversikt Variabler'!C114*'Oversikt Variabler'!D114*'Oversikt Variabler'!B66</f>
        <v>5700</v>
      </c>
      <c r="G33" s="265">
        <f>SUM('Oversikt Variabler'!B71:B72)*'Oversikt Variabler'!C114*'Oversikt Variabler'!D114</f>
        <v>1900</v>
      </c>
      <c r="H33" s="596">
        <f t="shared" si="3"/>
        <v>46075</v>
      </c>
      <c r="I33" s="662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26" ht="15" customHeight="1" x14ac:dyDescent="0.35">
      <c r="A34" s="32" t="s">
        <v>334</v>
      </c>
      <c r="B34" s="265">
        <f>'Oversikt Variabler'!B44*5*'Oversikt Variabler'!B116*'Oversikt Variabler'!D116</f>
        <v>11200</v>
      </c>
      <c r="C34" s="265">
        <f>'Oversikt Variabler'!B116*'Oversikt Variabler'!D116*('Oversikt Variabler'!B48*5)</f>
        <v>5600</v>
      </c>
      <c r="D34" s="265">
        <f>('Oversikt Variabler'!B51*'Oversikt Variabler'!B116)*'Oversikt Variabler'!D116</f>
        <v>2800</v>
      </c>
      <c r="E34" s="265">
        <f>('Oversikt Variabler'!B60*4+'Oversikt Variabler'!B62*4)*'Oversikt Variabler'!B116*'Oversikt Variabler'!D116</f>
        <v>4480</v>
      </c>
      <c r="F34" s="131"/>
      <c r="G34" s="131" t="s">
        <v>286</v>
      </c>
      <c r="H34" s="137">
        <f t="shared" si="3"/>
        <v>24080</v>
      </c>
      <c r="I34" s="662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</row>
    <row r="35" spans="1:26" ht="14.5" x14ac:dyDescent="0.35">
      <c r="A35" s="32" t="s">
        <v>335</v>
      </c>
      <c r="B35" s="265">
        <f>'Oversikt Variabler'!B44*5*'Oversikt Variabler'!C116*'Oversikt Variabler'!D116</f>
        <v>13230</v>
      </c>
      <c r="C35" s="265">
        <f>'Oversikt Variabler'!B48*5*'Oversikt Variabler'!C116*'Oversikt Variabler'!D116</f>
        <v>6615</v>
      </c>
      <c r="D35" s="265">
        <f>('Oversikt Variabler'!B51*'Oversikt Variabler'!C116)*'Oversikt Variabler'!D116</f>
        <v>3307.5</v>
      </c>
      <c r="E35" s="265">
        <f>'Oversikt Variabler'!C116*'Oversikt Variabler'!D116*('Oversikt Variabler'!B60*4+'Oversikt Variabler'!B62*4)</f>
        <v>5292</v>
      </c>
      <c r="F35" s="131"/>
      <c r="G35" s="131" t="s">
        <v>286</v>
      </c>
      <c r="H35" s="596">
        <f t="shared" si="3"/>
        <v>28444.5</v>
      </c>
      <c r="I35" s="662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</row>
    <row r="36" spans="1:26" s="270" customFormat="1" ht="29" x14ac:dyDescent="0.35">
      <c r="A36" s="459" t="s">
        <v>647</v>
      </c>
      <c r="B36" s="265">
        <f>Komiteer!B29</f>
        <v>16734.425536149676</v>
      </c>
      <c r="C36" s="265">
        <f>Komiteer!C29</f>
        <v>20871.963477135891</v>
      </c>
      <c r="D36" s="265">
        <f>Komiteer!D29</f>
        <v>1270.9359605911329</v>
      </c>
      <c r="E36" s="265">
        <f>Komiteer!E29</f>
        <v>10681.295715778473</v>
      </c>
      <c r="F36" s="265">
        <f>Komiteer!F29</f>
        <v>4241.3793103448279</v>
      </c>
      <c r="G36" s="131">
        <f>Komiteer!G29</f>
        <v>0</v>
      </c>
      <c r="H36" s="137">
        <f t="shared" si="3"/>
        <v>53800</v>
      </c>
      <c r="I36" s="662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</row>
    <row r="37" spans="1:26" ht="14.5" x14ac:dyDescent="0.35">
      <c r="A37" s="32" t="s">
        <v>336</v>
      </c>
      <c r="B37" s="131" t="s">
        <v>286</v>
      </c>
      <c r="C37" s="265">
        <f>('Oversikt Variabler'!B47*5)*'Oversikt Variabler'!B117*'Oversikt Variabler'!D117</f>
        <v>60775</v>
      </c>
      <c r="D37" s="131" t="s">
        <v>286</v>
      </c>
      <c r="E37" s="131"/>
      <c r="F37" s="265" t="s">
        <v>286</v>
      </c>
      <c r="G37" s="131" t="s">
        <v>286</v>
      </c>
      <c r="H37" s="137">
        <f t="shared" si="3"/>
        <v>60775</v>
      </c>
      <c r="I37" s="662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</row>
    <row r="38" spans="1:26" ht="14.5" x14ac:dyDescent="0.35">
      <c r="A38" s="32" t="s">
        <v>337</v>
      </c>
      <c r="B38" s="131" t="s">
        <v>286</v>
      </c>
      <c r="C38" s="265">
        <f>'Oversikt Variabler'!C117*'Oversikt Variabler'!D117*('Oversikt Variabler'!B47*5)</f>
        <v>74800</v>
      </c>
      <c r="D38" s="131" t="s">
        <v>286</v>
      </c>
      <c r="E38" s="131"/>
      <c r="F38" s="265" t="s">
        <v>286</v>
      </c>
      <c r="G38" s="131" t="s">
        <v>286</v>
      </c>
      <c r="H38" s="596">
        <f t="shared" si="3"/>
        <v>74800</v>
      </c>
      <c r="I38" s="662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</row>
    <row r="39" spans="1:26" s="451" customFormat="1" ht="14.5" x14ac:dyDescent="0.35">
      <c r="A39" s="32" t="s">
        <v>641</v>
      </c>
      <c r="B39" s="131"/>
      <c r="C39" s="131"/>
      <c r="D39" s="265">
        <f>('Oversikt Variabler'!B51*'Oversikt Variabler'!B120*'Oversikt Variabler'!D120)</f>
        <v>0</v>
      </c>
      <c r="E39" s="131"/>
      <c r="F39" s="265"/>
      <c r="G39" s="131"/>
      <c r="H39" s="137">
        <f t="shared" si="3"/>
        <v>0</v>
      </c>
      <c r="I39" s="662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</row>
    <row r="40" spans="1:26" s="451" customFormat="1" ht="14.5" x14ac:dyDescent="0.35">
      <c r="A40" s="32" t="s">
        <v>642</v>
      </c>
      <c r="B40" s="131"/>
      <c r="C40" s="131"/>
      <c r="D40" s="265">
        <f>('Oversikt Variabler'!B51*'Oversikt Variabler'!C120*'Oversikt Variabler'!D120)</f>
        <v>0</v>
      </c>
      <c r="E40" s="131"/>
      <c r="F40" s="265"/>
      <c r="G40" s="131"/>
      <c r="H40" s="137">
        <f t="shared" si="3"/>
        <v>0</v>
      </c>
      <c r="I40" s="662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4.5" x14ac:dyDescent="0.35">
      <c r="A41" s="32" t="s">
        <v>518</v>
      </c>
      <c r="B41" s="131" t="s">
        <v>286</v>
      </c>
      <c r="C41" s="131" t="s">
        <v>286</v>
      </c>
      <c r="D41" s="131" t="s">
        <v>286</v>
      </c>
      <c r="E41" s="131" t="s">
        <v>286</v>
      </c>
      <c r="F41" s="265">
        <f>'Oversikt Variabler'!B121*'Oversikt Variabler'!D121*'Oversikt Variabler'!B66</f>
        <v>30600</v>
      </c>
      <c r="G41" s="131" t="s">
        <v>286</v>
      </c>
      <c r="H41" s="137">
        <f t="shared" si="3"/>
        <v>30600</v>
      </c>
      <c r="I41" s="662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14.5" x14ac:dyDescent="0.35">
      <c r="A42" s="32" t="s">
        <v>519</v>
      </c>
      <c r="B42" s="131" t="s">
        <v>286</v>
      </c>
      <c r="C42" s="131" t="s">
        <v>286</v>
      </c>
      <c r="D42" s="131" t="s">
        <v>286</v>
      </c>
      <c r="E42" s="131" t="s">
        <v>286</v>
      </c>
      <c r="F42" s="265">
        <f>'Oversikt Variabler'!B66*'Oversikt Variabler'!C121*'Oversikt Variabler'!D121</f>
        <v>25500</v>
      </c>
      <c r="G42" s="131" t="s">
        <v>286</v>
      </c>
      <c r="H42" s="596">
        <f t="shared" si="3"/>
        <v>25500</v>
      </c>
      <c r="I42" s="662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s="351" customFormat="1" ht="14.5" x14ac:dyDescent="0.35">
      <c r="A43" s="32" t="s">
        <v>592</v>
      </c>
      <c r="B43" s="131"/>
      <c r="C43" s="131"/>
      <c r="D43" s="131"/>
      <c r="E43" s="131"/>
      <c r="F43" s="265">
        <f>('Oversikt Variabler'!B123*'Oversikt Variabler'!B66)</f>
        <v>4800</v>
      </c>
      <c r="G43" s="131"/>
      <c r="H43" s="137">
        <f t="shared" si="3"/>
        <v>4800</v>
      </c>
      <c r="I43" s="349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s="351" customFormat="1" ht="14.5" x14ac:dyDescent="0.35">
      <c r="A44" s="32" t="s">
        <v>593</v>
      </c>
      <c r="B44" s="131"/>
      <c r="C44" s="131"/>
      <c r="D44" s="131"/>
      <c r="E44" s="131"/>
      <c r="F44" s="265">
        <f>('Oversikt Variabler'!C123*'Oversikt Variabler'!B66)</f>
        <v>4800</v>
      </c>
      <c r="G44" s="131"/>
      <c r="H44" s="596">
        <f t="shared" si="3"/>
        <v>4800</v>
      </c>
      <c r="I44" s="349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4.5" x14ac:dyDescent="0.35">
      <c r="A45" s="32" t="s">
        <v>338</v>
      </c>
      <c r="B45" s="131"/>
      <c r="C45" s="131"/>
      <c r="D45" s="131"/>
      <c r="E45" s="265">
        <f>(('Oversikt Variabler'!B56*7)+('Oversikt Variabler'!B57*7))*'Oversikt Variabler'!B118*'Oversikt Variabler'!D118</f>
        <v>19337.5</v>
      </c>
      <c r="F45" s="131"/>
      <c r="G45" s="131"/>
      <c r="H45" s="137">
        <f t="shared" si="3"/>
        <v>19337.5</v>
      </c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ht="14.5" x14ac:dyDescent="0.35">
      <c r="A46" s="32" t="s">
        <v>339</v>
      </c>
      <c r="B46" s="131"/>
      <c r="C46" s="131"/>
      <c r="D46" s="131"/>
      <c r="E46" s="265">
        <f>(('Oversikt Variabler'!B56*7)+('Oversikt Variabler'!B57*7))*'Oversikt Variabler'!C118*'Oversikt Variabler'!D118</f>
        <v>29750</v>
      </c>
      <c r="F46" s="131"/>
      <c r="G46" s="131"/>
      <c r="H46" s="596">
        <f t="shared" si="3"/>
        <v>29750</v>
      </c>
      <c r="I46" s="217" t="s">
        <v>32</v>
      </c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s="269" customFormat="1" ht="14.5" x14ac:dyDescent="0.35">
      <c r="A47" s="32" t="s">
        <v>325</v>
      </c>
      <c r="B47" s="262">
        <f>-B12</f>
        <v>1004699.7999999999</v>
      </c>
      <c r="C47" s="262">
        <f t="shared" ref="C47:G47" si="5">-C12</f>
        <v>404577.35999999993</v>
      </c>
      <c r="D47" s="262">
        <f t="shared" si="5"/>
        <v>95779.90625</v>
      </c>
      <c r="E47" s="262">
        <f t="shared" si="5"/>
        <v>229170.84999999992</v>
      </c>
      <c r="F47" s="262">
        <f t="shared" si="5"/>
        <v>83169.84</v>
      </c>
      <c r="G47" s="262">
        <f t="shared" si="5"/>
        <v>13251.910000000002</v>
      </c>
      <c r="H47" s="137">
        <f t="shared" si="3"/>
        <v>1830649.6662499998</v>
      </c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5" customHeight="1" x14ac:dyDescent="0.35">
      <c r="A48" s="75" t="s">
        <v>520</v>
      </c>
      <c r="B48" s="277">
        <f>-((('Oversikt Pris'!B12*'Oversikt Variabler'!C42*4)+('Oversikt Pris'!C12*'Oversikt Variabler'!D42*4)+('Oversikt Pris'!D12*'Oversikt Variabler'!E42*4)+('Oversikt Pris'!E12*'Oversikt Variabler'!F42*4))+('Oversikt Pris'!F12*'Oversikt Variabler'!B43))</f>
        <v>190933</v>
      </c>
      <c r="C48" s="277">
        <f>-(('Oversikt Pris'!B27*'Oversikt Variabler'!C47*4)+('Oversikt Pris'!C27*'Oversikt Variabler'!D47*4)+('Oversikt Pris'!D27*'Oversikt Variabler'!E47*4)+('Oversikt Pris'!E27*'Oversikt Variabler'!F47*4))</f>
        <v>75960</v>
      </c>
      <c r="D48" s="277">
        <f>-('Oversikt Pris'!B41*('Oversikt Variabler'!B51*8))</f>
        <v>20600</v>
      </c>
      <c r="E48" s="277">
        <f>-((('Oversikt Pris'!B54*('Oversikt Variabler'!B54)*6)+(('Oversikt Pris'!C54*'Oversikt Variabler'!B55)*6)+(('Oversikt Pris'!D54*'Oversikt Variabler'!B56)*6)+(('Oversikt Pris'!E54*'Oversikt Variabler'!B57)*6)+('Oversikt Pris'!F54*'Oversikt Variabler'!B58)+('Oversikt Pris'!G54*'Oversikt Variabler'!B59)))</f>
        <v>23606</v>
      </c>
      <c r="F48" s="277">
        <f>-('Oversikt Pris'!B66*'Oversikt Variabler'!B66)</f>
        <v>15024</v>
      </c>
      <c r="G48" s="277">
        <f>-(('Oversikt Pris'!B77*'Oversikt Variabler'!B71)+('Oversikt Pris'!C77*'Oversikt Variabler'!B72))</f>
        <v>2646</v>
      </c>
      <c r="H48" s="133">
        <f>SUM(B48:G48)</f>
        <v>328769</v>
      </c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4.5" x14ac:dyDescent="0.35">
      <c r="A49" s="32" t="s">
        <v>292</v>
      </c>
      <c r="B49" s="261">
        <v>0</v>
      </c>
      <c r="C49" s="261">
        <v>0</v>
      </c>
      <c r="D49" s="261">
        <v>0</v>
      </c>
      <c r="E49" s="261">
        <v>0</v>
      </c>
      <c r="F49" s="261">
        <v>0</v>
      </c>
      <c r="G49" s="261">
        <v>0</v>
      </c>
      <c r="H49" s="137">
        <f t="shared" si="3"/>
        <v>0</v>
      </c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</row>
    <row r="50" spans="1:26" ht="14.5" x14ac:dyDescent="0.35">
      <c r="A50" s="75" t="s">
        <v>291</v>
      </c>
      <c r="B50" s="278">
        <f>'Oversikt Variabler'!$B$22*'Oversikt Variabler'!$B$4*('Oversikt Variabler'!$B$42*4)</f>
        <v>10810</v>
      </c>
      <c r="C50" s="279">
        <f>'Oversikt Variabler'!$B$22*'Oversikt Variabler'!$B$4*('Oversikt Variabler'!$B$47*4)</f>
        <v>5060</v>
      </c>
      <c r="D50" s="279">
        <f>('Oversikt Variabler'!$B$51*8)*'Oversikt Variabler'!$B$4*'Oversikt Variabler'!$B$23</f>
        <v>1840</v>
      </c>
      <c r="E50" s="279">
        <f>('Oversikt Variabler'!$B$4*'Oversikt Variabler'!$B$24)*(('Oversikt Variabler'!$B$54+'Oversikt Variabler'!$B$55+'Oversikt Variabler'!$B$56+'Oversikt Variabler'!$B$57)*6)+('Oversikt Variabler'!$B$3*'Oversikt Variabler'!$B$24*('Oversikt Variabler'!$B$58+'Oversikt Variabler'!$B$59))</f>
        <v>4002</v>
      </c>
      <c r="F50" s="279">
        <f>'Oversikt Variabler'!$B$24*'Oversikt Variabler'!$B$4*'Oversikt Variabler'!$B$66</f>
        <v>828</v>
      </c>
      <c r="G50" s="131"/>
      <c r="H50" s="137">
        <f t="shared" si="3"/>
        <v>22540</v>
      </c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</row>
    <row r="51" spans="1:26" ht="14.5" x14ac:dyDescent="0.35">
      <c r="A51" s="206" t="s">
        <v>341</v>
      </c>
      <c r="B51" s="207">
        <f t="shared" ref="B51:H51" si="6">SUM(B22:B50)</f>
        <v>2173371.7255361495</v>
      </c>
      <c r="C51" s="207">
        <f t="shared" si="6"/>
        <v>955716.32347713574</v>
      </c>
      <c r="D51" s="207">
        <f t="shared" si="6"/>
        <v>193533.34221059113</v>
      </c>
      <c r="E51" s="207">
        <f t="shared" si="6"/>
        <v>530949.64571577846</v>
      </c>
      <c r="F51" s="207">
        <f t="shared" si="6"/>
        <v>236651.21931034481</v>
      </c>
      <c r="G51" s="207">
        <f t="shared" si="6"/>
        <v>33657.910000000003</v>
      </c>
      <c r="H51" s="268">
        <f t="shared" si="6"/>
        <v>4123880.1662499998</v>
      </c>
      <c r="I51" s="217" t="s">
        <v>32</v>
      </c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</row>
    <row r="52" spans="1:26" ht="14.5" x14ac:dyDescent="0.35">
      <c r="A52" s="217" t="s">
        <v>74</v>
      </c>
      <c r="B52" s="263">
        <f t="shared" ref="B52:G52" si="7">-B5</f>
        <v>7850</v>
      </c>
      <c r="C52" s="263">
        <f t="shared" si="7"/>
        <v>4400</v>
      </c>
      <c r="D52" s="263">
        <f t="shared" si="7"/>
        <v>2000</v>
      </c>
      <c r="E52" s="263">
        <f t="shared" si="7"/>
        <v>5800</v>
      </c>
      <c r="F52" s="263">
        <f t="shared" si="7"/>
        <v>1200</v>
      </c>
      <c r="G52" s="263">
        <f t="shared" si="7"/>
        <v>400</v>
      </c>
      <c r="H52" s="5">
        <f t="shared" ref="H52:H53" si="8">SUM(B52:G52)</f>
        <v>21650</v>
      </c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</row>
    <row r="53" spans="1:26" ht="14.5" x14ac:dyDescent="0.35">
      <c r="A53" s="217" t="s">
        <v>342</v>
      </c>
      <c r="B53" s="5">
        <f t="shared" ref="B53:G53" si="9">B51+B52</f>
        <v>2181221.7255361495</v>
      </c>
      <c r="C53" s="5">
        <f t="shared" si="9"/>
        <v>960116.32347713574</v>
      </c>
      <c r="D53" s="5">
        <f t="shared" si="9"/>
        <v>195533.34221059113</v>
      </c>
      <c r="E53" s="5">
        <f t="shared" si="9"/>
        <v>536749.64571577846</v>
      </c>
      <c r="F53" s="5">
        <f t="shared" si="9"/>
        <v>237851.21931034481</v>
      </c>
      <c r="G53" s="5">
        <f t="shared" si="9"/>
        <v>34057.910000000003</v>
      </c>
      <c r="H53" s="5">
        <f t="shared" si="8"/>
        <v>4145530.1662499993</v>
      </c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</row>
    <row r="54" spans="1:26" ht="14.5" x14ac:dyDescent="0.35">
      <c r="A54" s="208" t="s">
        <v>343</v>
      </c>
      <c r="B54" s="208">
        <f t="shared" ref="B54:H54" si="10">-(B17+B53)</f>
        <v>-29412.190753540955</v>
      </c>
      <c r="C54" s="208">
        <f t="shared" si="10"/>
        <v>-7993.3360858315136</v>
      </c>
      <c r="D54" s="208">
        <f t="shared" si="10"/>
        <v>-1889.9576997215627</v>
      </c>
      <c r="E54" s="208">
        <f t="shared" si="10"/>
        <v>31657.340153786703</v>
      </c>
      <c r="F54" s="208">
        <f t="shared" si="10"/>
        <v>3410.7165217391739</v>
      </c>
      <c r="G54" s="208">
        <f t="shared" si="10"/>
        <v>3685.6521739130403</v>
      </c>
      <c r="H54" s="208">
        <f t="shared" si="10"/>
        <v>-541.77568965451792</v>
      </c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</row>
    <row r="55" spans="1:26" ht="14.5" x14ac:dyDescent="0.35">
      <c r="A55" s="217"/>
      <c r="B55" s="217"/>
      <c r="C55" s="217"/>
      <c r="D55" s="217"/>
      <c r="E55" s="217"/>
      <c r="F55" s="217"/>
      <c r="G55" s="217"/>
      <c r="H55" s="5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</row>
    <row r="56" spans="1:26" ht="14.5" x14ac:dyDescent="0.3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</row>
    <row r="57" spans="1:26" ht="14.5" x14ac:dyDescent="0.3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4.5" x14ac:dyDescent="0.3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4.5" x14ac:dyDescent="0.3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4.5" x14ac:dyDescent="0.35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</row>
    <row r="61" spans="1:26" ht="14.5" x14ac:dyDescent="0.35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4.5" x14ac:dyDescent="0.35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ht="14.5" x14ac:dyDescent="0.35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4.5" x14ac:dyDescent="0.35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ht="14.5" x14ac:dyDescent="0.35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4.5" x14ac:dyDescent="0.35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</row>
    <row r="67" spans="1:26" ht="14.5" x14ac:dyDescent="0.35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ht="14.5" x14ac:dyDescent="0.35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ht="14.5" x14ac:dyDescent="0.35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ht="14.5" x14ac:dyDescent="0.35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4.5" x14ac:dyDescent="0.35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4.5" x14ac:dyDescent="0.35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4.5" x14ac:dyDescent="0.35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</row>
    <row r="74" spans="1:26" ht="14.5" x14ac:dyDescent="0.3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4.5" x14ac:dyDescent="0.35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</row>
    <row r="76" spans="1:26" ht="14.5" x14ac:dyDescent="0.35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</row>
    <row r="77" spans="1:26" ht="14.5" x14ac:dyDescent="0.35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</row>
    <row r="78" spans="1:26" ht="14.5" x14ac:dyDescent="0.35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</row>
    <row r="79" spans="1:26" ht="14.5" x14ac:dyDescent="0.35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</row>
    <row r="80" spans="1:26" ht="14.5" x14ac:dyDescent="0.35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</row>
    <row r="81" spans="1:26" ht="14.5" x14ac:dyDescent="0.35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</row>
    <row r="82" spans="1:26" ht="14.5" x14ac:dyDescent="0.35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</row>
    <row r="83" spans="1:26" ht="14.5" x14ac:dyDescent="0.35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</row>
    <row r="84" spans="1:26" ht="14.5" x14ac:dyDescent="0.35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</row>
    <row r="85" spans="1:26" ht="14.5" x14ac:dyDescent="0.35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</row>
    <row r="86" spans="1:26" ht="14.5" x14ac:dyDescent="0.35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</row>
    <row r="87" spans="1:26" ht="14.5" x14ac:dyDescent="0.35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</row>
    <row r="88" spans="1:26" ht="14.5" x14ac:dyDescent="0.35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</row>
    <row r="89" spans="1:26" ht="14.5" x14ac:dyDescent="0.35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</row>
    <row r="90" spans="1:26" ht="14.5" x14ac:dyDescent="0.35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</row>
    <row r="91" spans="1:26" ht="14.5" x14ac:dyDescent="0.35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</row>
    <row r="92" spans="1:26" ht="14.5" x14ac:dyDescent="0.35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</row>
    <row r="93" spans="1:26" ht="14.5" x14ac:dyDescent="0.35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</row>
    <row r="94" spans="1:26" ht="14.5" x14ac:dyDescent="0.35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</row>
    <row r="95" spans="1:26" ht="14.5" x14ac:dyDescent="0.35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</row>
    <row r="96" spans="1:26" ht="14.5" x14ac:dyDescent="0.35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</row>
    <row r="97" spans="1:26" ht="14.5" x14ac:dyDescent="0.35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</row>
    <row r="98" spans="1:26" ht="14.5" x14ac:dyDescent="0.35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</row>
    <row r="99" spans="1:26" ht="14.5" x14ac:dyDescent="0.35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</row>
    <row r="100" spans="1:26" ht="14.5" x14ac:dyDescent="0.35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</row>
    <row r="101" spans="1:26" ht="14.5" x14ac:dyDescent="0.35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</row>
    <row r="102" spans="1:26" ht="14.5" x14ac:dyDescent="0.35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</row>
    <row r="103" spans="1:26" ht="14.5" x14ac:dyDescent="0.35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</row>
    <row r="104" spans="1:26" ht="14.5" x14ac:dyDescent="0.35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</row>
    <row r="105" spans="1:26" ht="14.5" x14ac:dyDescent="0.35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</row>
    <row r="106" spans="1:26" ht="14.5" x14ac:dyDescent="0.35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</row>
    <row r="107" spans="1:26" ht="14.5" x14ac:dyDescent="0.35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</row>
    <row r="108" spans="1:26" ht="14.5" x14ac:dyDescent="0.35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</row>
    <row r="109" spans="1:26" ht="14.5" x14ac:dyDescent="0.35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</row>
    <row r="110" spans="1:26" ht="14.5" x14ac:dyDescent="0.35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</row>
    <row r="111" spans="1:26" ht="14.5" x14ac:dyDescent="0.35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</row>
    <row r="112" spans="1:26" ht="14.5" x14ac:dyDescent="0.35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</row>
    <row r="113" spans="1:26" ht="14.5" x14ac:dyDescent="0.35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</row>
    <row r="114" spans="1:26" ht="14.5" x14ac:dyDescent="0.35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</row>
    <row r="115" spans="1:26" ht="14.5" x14ac:dyDescent="0.35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</row>
    <row r="116" spans="1:26" ht="14.5" x14ac:dyDescent="0.35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</row>
    <row r="117" spans="1:26" ht="14.5" x14ac:dyDescent="0.35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</row>
    <row r="118" spans="1:26" ht="14.5" x14ac:dyDescent="0.35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</row>
    <row r="119" spans="1:26" ht="14.5" x14ac:dyDescent="0.35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</row>
    <row r="120" spans="1:26" ht="14.5" x14ac:dyDescent="0.35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</row>
    <row r="121" spans="1:26" ht="14.5" x14ac:dyDescent="0.35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</row>
    <row r="122" spans="1:26" ht="14.5" x14ac:dyDescent="0.35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</row>
    <row r="123" spans="1:26" ht="14.5" x14ac:dyDescent="0.35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</row>
    <row r="124" spans="1:26" ht="14.5" x14ac:dyDescent="0.35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</row>
    <row r="125" spans="1:26" ht="14.5" x14ac:dyDescent="0.35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</row>
    <row r="126" spans="1:26" ht="14.5" x14ac:dyDescent="0.35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</row>
    <row r="127" spans="1:26" ht="14.5" x14ac:dyDescent="0.35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</row>
    <row r="128" spans="1:26" ht="14.5" x14ac:dyDescent="0.35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</row>
    <row r="129" spans="1:26" ht="14.5" x14ac:dyDescent="0.35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</row>
    <row r="130" spans="1:26" ht="14.5" x14ac:dyDescent="0.35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</row>
    <row r="131" spans="1:26" ht="14.5" x14ac:dyDescent="0.35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</row>
    <row r="132" spans="1:26" ht="14.5" x14ac:dyDescent="0.35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</row>
    <row r="133" spans="1:26" ht="14.5" x14ac:dyDescent="0.35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</row>
    <row r="134" spans="1:26" ht="14.5" x14ac:dyDescent="0.35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</row>
    <row r="135" spans="1:26" ht="14.5" x14ac:dyDescent="0.35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</row>
    <row r="136" spans="1:26" ht="14.5" x14ac:dyDescent="0.35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</row>
    <row r="137" spans="1:26" ht="14.5" x14ac:dyDescent="0.35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</row>
    <row r="138" spans="1:26" ht="14.5" x14ac:dyDescent="0.35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</row>
    <row r="139" spans="1:26" ht="14.5" x14ac:dyDescent="0.35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</row>
    <row r="140" spans="1:26" ht="14.5" x14ac:dyDescent="0.35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</row>
    <row r="141" spans="1:26" ht="14.5" x14ac:dyDescent="0.35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</row>
    <row r="142" spans="1:26" ht="14.5" x14ac:dyDescent="0.35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</row>
    <row r="143" spans="1:26" ht="14.5" x14ac:dyDescent="0.35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</row>
    <row r="144" spans="1:26" ht="14.5" x14ac:dyDescent="0.35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</row>
    <row r="145" spans="1:26" ht="14.5" x14ac:dyDescent="0.35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</row>
    <row r="146" spans="1:26" ht="14.5" x14ac:dyDescent="0.35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</row>
    <row r="147" spans="1:26" ht="14.5" x14ac:dyDescent="0.35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</row>
    <row r="148" spans="1:26" ht="14.5" x14ac:dyDescent="0.35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4.5" x14ac:dyDescent="0.35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</row>
    <row r="150" spans="1:26" ht="14.5" x14ac:dyDescent="0.35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</row>
    <row r="151" spans="1:26" ht="14.5" x14ac:dyDescent="0.35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</row>
    <row r="152" spans="1:26" ht="14.5" x14ac:dyDescent="0.35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</row>
    <row r="153" spans="1:26" ht="14.5" x14ac:dyDescent="0.35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</row>
    <row r="154" spans="1:26" ht="14.5" x14ac:dyDescent="0.35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</row>
    <row r="155" spans="1:26" ht="14.5" x14ac:dyDescent="0.35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</row>
    <row r="156" spans="1:26" ht="14.5" x14ac:dyDescent="0.35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</row>
    <row r="157" spans="1:26" ht="14.5" x14ac:dyDescent="0.35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</row>
    <row r="158" spans="1:26" ht="14.5" x14ac:dyDescent="0.35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</row>
    <row r="159" spans="1:26" ht="14.5" x14ac:dyDescent="0.35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</row>
    <row r="160" spans="1:26" ht="14.5" x14ac:dyDescent="0.35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</row>
    <row r="161" spans="1:26" ht="14.5" x14ac:dyDescent="0.35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</row>
    <row r="162" spans="1:26" ht="14.5" x14ac:dyDescent="0.35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</row>
    <row r="163" spans="1:26" ht="14.5" x14ac:dyDescent="0.35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</row>
    <row r="164" spans="1:26" ht="14.5" x14ac:dyDescent="0.35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</row>
    <row r="165" spans="1:26" ht="14.5" x14ac:dyDescent="0.35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</row>
    <row r="166" spans="1:26" ht="14.5" x14ac:dyDescent="0.35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</row>
    <row r="167" spans="1:26" ht="14.5" x14ac:dyDescent="0.35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</row>
    <row r="168" spans="1:26" ht="14.5" x14ac:dyDescent="0.35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</row>
    <row r="169" spans="1:26" ht="14.5" x14ac:dyDescent="0.35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</row>
    <row r="170" spans="1:26" ht="14.5" x14ac:dyDescent="0.35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</row>
    <row r="171" spans="1:26" ht="14.5" x14ac:dyDescent="0.35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</row>
    <row r="172" spans="1:26" ht="14.5" x14ac:dyDescent="0.35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</row>
    <row r="173" spans="1:26" ht="14.5" x14ac:dyDescent="0.35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</row>
    <row r="174" spans="1:26" ht="14.5" x14ac:dyDescent="0.35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</row>
    <row r="175" spans="1:26" ht="14.5" x14ac:dyDescent="0.35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</row>
    <row r="176" spans="1:26" ht="14.5" x14ac:dyDescent="0.35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</row>
    <row r="177" spans="1:26" ht="14.5" x14ac:dyDescent="0.35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</row>
    <row r="178" spans="1:26" ht="14.5" x14ac:dyDescent="0.35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</row>
    <row r="179" spans="1:26" ht="14.5" x14ac:dyDescent="0.35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</row>
    <row r="180" spans="1:26" ht="14.5" x14ac:dyDescent="0.35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</row>
    <row r="181" spans="1:26" ht="14.5" x14ac:dyDescent="0.35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</row>
    <row r="182" spans="1:26" ht="14.5" x14ac:dyDescent="0.35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</row>
    <row r="183" spans="1:26" ht="14.5" x14ac:dyDescent="0.35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</row>
    <row r="184" spans="1:26" ht="14.5" x14ac:dyDescent="0.35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</row>
    <row r="185" spans="1:26" ht="14.5" x14ac:dyDescent="0.35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</row>
    <row r="186" spans="1:26" ht="14.5" x14ac:dyDescent="0.35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</row>
    <row r="187" spans="1:26" ht="14.5" x14ac:dyDescent="0.35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</row>
    <row r="188" spans="1:26" ht="14.5" x14ac:dyDescent="0.35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</row>
    <row r="189" spans="1:26" ht="14.5" x14ac:dyDescent="0.35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</row>
    <row r="190" spans="1:26" ht="14.5" x14ac:dyDescent="0.35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</row>
    <row r="191" spans="1:26" ht="14.5" x14ac:dyDescent="0.35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</row>
    <row r="192" spans="1:26" ht="14.5" x14ac:dyDescent="0.35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</row>
    <row r="193" spans="1:26" ht="14.5" x14ac:dyDescent="0.35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</row>
    <row r="194" spans="1:26" ht="14.5" x14ac:dyDescent="0.35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</row>
    <row r="195" spans="1:26" ht="14.5" x14ac:dyDescent="0.35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</row>
    <row r="196" spans="1:26" ht="14.5" x14ac:dyDescent="0.35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</row>
    <row r="197" spans="1:26" ht="14.5" x14ac:dyDescent="0.35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</row>
    <row r="198" spans="1:26" ht="14.5" x14ac:dyDescent="0.35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</row>
    <row r="199" spans="1:26" ht="14.5" x14ac:dyDescent="0.35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</row>
    <row r="200" spans="1:26" ht="14.5" x14ac:dyDescent="0.35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</row>
    <row r="201" spans="1:26" ht="14.5" x14ac:dyDescent="0.35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</row>
    <row r="202" spans="1:26" ht="14.5" x14ac:dyDescent="0.35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</row>
    <row r="203" spans="1:26" ht="14.5" x14ac:dyDescent="0.35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</row>
    <row r="204" spans="1:26" ht="14.5" x14ac:dyDescent="0.35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</row>
    <row r="205" spans="1:26" ht="14.5" x14ac:dyDescent="0.35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</row>
    <row r="206" spans="1:26" ht="14.5" x14ac:dyDescent="0.35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</row>
    <row r="207" spans="1:26" ht="14.5" x14ac:dyDescent="0.35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</row>
    <row r="208" spans="1:26" ht="14.5" x14ac:dyDescent="0.35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</row>
    <row r="209" spans="1:26" ht="14.5" x14ac:dyDescent="0.35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</row>
    <row r="210" spans="1:26" ht="14.5" x14ac:dyDescent="0.35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</row>
    <row r="211" spans="1:26" ht="14.5" x14ac:dyDescent="0.35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</row>
    <row r="212" spans="1:26" ht="14.5" x14ac:dyDescent="0.35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</row>
    <row r="213" spans="1:26" ht="14.5" x14ac:dyDescent="0.35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</row>
    <row r="214" spans="1:26" ht="14.5" x14ac:dyDescent="0.35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</row>
    <row r="215" spans="1:26" ht="14.5" x14ac:dyDescent="0.35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</row>
    <row r="216" spans="1:26" ht="14.5" x14ac:dyDescent="0.35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</row>
    <row r="217" spans="1:26" ht="14.5" x14ac:dyDescent="0.35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</row>
    <row r="218" spans="1:26" ht="14.5" x14ac:dyDescent="0.35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</row>
    <row r="219" spans="1:26" ht="14.5" x14ac:dyDescent="0.35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</row>
    <row r="220" spans="1:26" ht="14.5" x14ac:dyDescent="0.35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</row>
    <row r="221" spans="1:26" ht="14.5" x14ac:dyDescent="0.35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</row>
    <row r="222" spans="1:26" ht="14.5" x14ac:dyDescent="0.35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</row>
    <row r="223" spans="1:26" ht="14.5" x14ac:dyDescent="0.35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</row>
    <row r="224" spans="1:26" ht="14.5" x14ac:dyDescent="0.35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</row>
    <row r="225" spans="1:26" ht="14.5" x14ac:dyDescent="0.35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</row>
    <row r="226" spans="1:26" ht="14.5" x14ac:dyDescent="0.35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</row>
    <row r="227" spans="1:26" ht="14.5" x14ac:dyDescent="0.35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</row>
    <row r="228" spans="1:26" ht="14.5" x14ac:dyDescent="0.35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</row>
    <row r="229" spans="1:26" ht="14.5" x14ac:dyDescent="0.35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</row>
    <row r="230" spans="1:26" ht="14.5" x14ac:dyDescent="0.35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</row>
    <row r="231" spans="1:26" ht="14.5" x14ac:dyDescent="0.35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</row>
    <row r="232" spans="1:26" ht="14.5" x14ac:dyDescent="0.35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</row>
    <row r="233" spans="1:26" ht="14.5" x14ac:dyDescent="0.35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</row>
    <row r="234" spans="1:26" ht="14.5" x14ac:dyDescent="0.35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</row>
    <row r="235" spans="1:26" ht="14.5" x14ac:dyDescent="0.35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</row>
    <row r="236" spans="1:26" ht="14.5" x14ac:dyDescent="0.35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</row>
    <row r="237" spans="1:26" ht="14.5" x14ac:dyDescent="0.35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</row>
    <row r="238" spans="1:26" ht="14.5" x14ac:dyDescent="0.35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</row>
    <row r="239" spans="1:26" ht="14.5" x14ac:dyDescent="0.3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</row>
    <row r="240" spans="1:26" ht="14.5" x14ac:dyDescent="0.35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</row>
    <row r="241" spans="1:26" ht="14.5" x14ac:dyDescent="0.35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</row>
    <row r="242" spans="1:26" ht="14.5" x14ac:dyDescent="0.35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</row>
    <row r="243" spans="1:26" ht="14.5" x14ac:dyDescent="0.35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</row>
    <row r="244" spans="1:26" ht="14.5" x14ac:dyDescent="0.35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</row>
    <row r="245" spans="1:26" ht="14.5" x14ac:dyDescent="0.35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</row>
    <row r="246" spans="1:26" ht="14.5" x14ac:dyDescent="0.35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</row>
    <row r="247" spans="1:26" ht="14.5" x14ac:dyDescent="0.35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</row>
    <row r="248" spans="1:26" ht="14.5" x14ac:dyDescent="0.35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</row>
    <row r="249" spans="1:26" ht="14.5" x14ac:dyDescent="0.35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</row>
    <row r="250" spans="1:26" ht="14.5" x14ac:dyDescent="0.35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</row>
    <row r="251" spans="1:26" ht="14.5" x14ac:dyDescent="0.35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</row>
    <row r="252" spans="1:26" ht="14.5" x14ac:dyDescent="0.35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</row>
    <row r="253" spans="1:26" ht="14.5" x14ac:dyDescent="0.35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</row>
    <row r="254" spans="1:26" ht="14.5" x14ac:dyDescent="0.35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</row>
    <row r="255" spans="1:26" ht="14.5" x14ac:dyDescent="0.35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</row>
    <row r="256" spans="1:26" ht="14.5" x14ac:dyDescent="0.35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</row>
    <row r="257" spans="1:26" ht="14.5" x14ac:dyDescent="0.35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</row>
    <row r="258" spans="1:26" ht="14.5" x14ac:dyDescent="0.35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</row>
    <row r="259" spans="1:26" ht="14.5" x14ac:dyDescent="0.35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</row>
    <row r="260" spans="1:26" ht="14.5" x14ac:dyDescent="0.35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</row>
    <row r="261" spans="1:26" ht="14.5" x14ac:dyDescent="0.35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</row>
    <row r="262" spans="1:26" ht="14.5" x14ac:dyDescent="0.35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</row>
    <row r="263" spans="1:26" ht="14.5" x14ac:dyDescent="0.35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</row>
    <row r="264" spans="1:26" ht="14.5" x14ac:dyDescent="0.35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</row>
    <row r="265" spans="1:26" ht="14.5" x14ac:dyDescent="0.35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</row>
    <row r="266" spans="1:26" ht="14.5" x14ac:dyDescent="0.35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</row>
    <row r="267" spans="1:26" ht="14.5" x14ac:dyDescent="0.35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</row>
    <row r="268" spans="1:26" ht="14.5" x14ac:dyDescent="0.35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</row>
    <row r="269" spans="1:26" ht="14.5" x14ac:dyDescent="0.35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</row>
    <row r="270" spans="1:26" ht="14.5" x14ac:dyDescent="0.35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</row>
    <row r="271" spans="1:26" ht="14.5" x14ac:dyDescent="0.35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</row>
    <row r="272" spans="1:26" ht="14.5" x14ac:dyDescent="0.35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</row>
    <row r="273" spans="1:26" ht="14.5" x14ac:dyDescent="0.35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</row>
    <row r="274" spans="1:26" ht="14.5" x14ac:dyDescent="0.35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</row>
    <row r="275" spans="1:26" ht="14.5" x14ac:dyDescent="0.35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</row>
    <row r="276" spans="1:26" ht="14.5" x14ac:dyDescent="0.35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</row>
    <row r="277" spans="1:26" ht="14.5" x14ac:dyDescent="0.35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</row>
    <row r="278" spans="1:26" ht="14.5" x14ac:dyDescent="0.35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</row>
    <row r="279" spans="1:26" ht="14.5" x14ac:dyDescent="0.35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</row>
    <row r="280" spans="1:26" ht="14.5" x14ac:dyDescent="0.35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</row>
    <row r="281" spans="1:26" ht="14.5" x14ac:dyDescent="0.35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</row>
    <row r="282" spans="1:26" ht="14.5" x14ac:dyDescent="0.35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</row>
    <row r="283" spans="1:26" ht="14.5" x14ac:dyDescent="0.35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</row>
    <row r="284" spans="1:26" ht="14.5" x14ac:dyDescent="0.35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</row>
    <row r="285" spans="1:26" ht="14.5" x14ac:dyDescent="0.35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</row>
    <row r="286" spans="1:26" ht="14.5" x14ac:dyDescent="0.35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</row>
    <row r="287" spans="1:26" ht="14.5" x14ac:dyDescent="0.35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</row>
    <row r="288" spans="1:26" ht="14.5" x14ac:dyDescent="0.35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</row>
    <row r="289" spans="1:26" ht="14.5" x14ac:dyDescent="0.35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</row>
    <row r="290" spans="1:26" ht="14.5" x14ac:dyDescent="0.35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</row>
    <row r="291" spans="1:26" ht="14.5" x14ac:dyDescent="0.35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</row>
    <row r="292" spans="1:26" ht="14.5" x14ac:dyDescent="0.35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</row>
    <row r="293" spans="1:26" ht="14.5" x14ac:dyDescent="0.35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</row>
    <row r="294" spans="1:26" ht="14.5" x14ac:dyDescent="0.35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</row>
    <row r="295" spans="1:26" ht="14.5" x14ac:dyDescent="0.35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</row>
    <row r="296" spans="1:26" ht="14.5" x14ac:dyDescent="0.35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</row>
    <row r="297" spans="1:26" ht="14.5" x14ac:dyDescent="0.35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</row>
    <row r="298" spans="1:26" ht="14.5" x14ac:dyDescent="0.35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</row>
    <row r="299" spans="1:26" ht="14.5" x14ac:dyDescent="0.35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</row>
    <row r="300" spans="1:26" ht="14.5" x14ac:dyDescent="0.35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</row>
    <row r="301" spans="1:26" ht="14.5" x14ac:dyDescent="0.35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</row>
    <row r="302" spans="1:26" ht="14.5" x14ac:dyDescent="0.35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</row>
    <row r="303" spans="1:26" ht="14.5" x14ac:dyDescent="0.35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</row>
    <row r="304" spans="1:26" ht="14.5" x14ac:dyDescent="0.35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</row>
    <row r="305" spans="1:26" ht="14.5" x14ac:dyDescent="0.35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</row>
    <row r="306" spans="1:26" ht="14.5" x14ac:dyDescent="0.35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</row>
    <row r="307" spans="1:26" ht="14.5" x14ac:dyDescent="0.35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</row>
    <row r="308" spans="1:26" ht="14.5" x14ac:dyDescent="0.35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</row>
    <row r="309" spans="1:26" ht="14.5" x14ac:dyDescent="0.35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</row>
    <row r="310" spans="1:26" ht="14.5" x14ac:dyDescent="0.35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</row>
    <row r="311" spans="1:26" ht="14.5" x14ac:dyDescent="0.35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</row>
    <row r="312" spans="1:26" ht="14.5" x14ac:dyDescent="0.35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</row>
    <row r="313" spans="1:26" ht="14.5" x14ac:dyDescent="0.35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</row>
    <row r="314" spans="1:26" ht="14.5" x14ac:dyDescent="0.35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</row>
    <row r="315" spans="1:26" ht="14.5" x14ac:dyDescent="0.35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</row>
    <row r="316" spans="1:26" ht="14.5" x14ac:dyDescent="0.35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</row>
    <row r="317" spans="1:26" ht="14.5" x14ac:dyDescent="0.35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</row>
    <row r="318" spans="1:26" ht="14.5" x14ac:dyDescent="0.35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</row>
    <row r="319" spans="1:26" ht="14.5" x14ac:dyDescent="0.35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</row>
    <row r="320" spans="1:26" ht="14.5" x14ac:dyDescent="0.35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</row>
    <row r="321" spans="1:26" ht="14.5" x14ac:dyDescent="0.35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</row>
    <row r="322" spans="1:26" ht="14.5" x14ac:dyDescent="0.35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</row>
    <row r="323" spans="1:26" ht="14.5" x14ac:dyDescent="0.35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</row>
    <row r="324" spans="1:26" ht="14.5" x14ac:dyDescent="0.35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</row>
    <row r="325" spans="1:26" ht="14.5" x14ac:dyDescent="0.35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</row>
    <row r="326" spans="1:26" ht="14.5" x14ac:dyDescent="0.35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</row>
    <row r="327" spans="1:26" ht="14.5" x14ac:dyDescent="0.35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</row>
    <row r="328" spans="1:26" ht="14.5" x14ac:dyDescent="0.35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</row>
    <row r="329" spans="1:26" ht="14.5" x14ac:dyDescent="0.35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</row>
    <row r="330" spans="1:26" ht="14.5" x14ac:dyDescent="0.35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</row>
    <row r="331" spans="1:26" ht="14.5" x14ac:dyDescent="0.35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</row>
    <row r="332" spans="1:26" ht="14.5" x14ac:dyDescent="0.35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</row>
    <row r="333" spans="1:26" ht="14.5" x14ac:dyDescent="0.35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</row>
    <row r="334" spans="1:26" ht="14.5" x14ac:dyDescent="0.35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</row>
    <row r="335" spans="1:26" ht="14.5" x14ac:dyDescent="0.35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</row>
    <row r="336" spans="1:26" ht="14.5" x14ac:dyDescent="0.35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</row>
    <row r="337" spans="1:26" ht="14.5" x14ac:dyDescent="0.35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</row>
    <row r="338" spans="1:26" ht="14.5" x14ac:dyDescent="0.35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</row>
    <row r="339" spans="1:26" ht="14.5" x14ac:dyDescent="0.35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</row>
    <row r="340" spans="1:26" ht="14.5" x14ac:dyDescent="0.35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</row>
    <row r="341" spans="1:26" ht="14.5" x14ac:dyDescent="0.35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</row>
    <row r="342" spans="1:26" ht="14.5" x14ac:dyDescent="0.35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</row>
    <row r="343" spans="1:26" ht="14.5" x14ac:dyDescent="0.35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</row>
    <row r="344" spans="1:26" ht="14.5" x14ac:dyDescent="0.35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</row>
    <row r="345" spans="1:26" ht="14.5" x14ac:dyDescent="0.35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</row>
    <row r="346" spans="1:26" ht="14.5" x14ac:dyDescent="0.35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</row>
    <row r="347" spans="1:26" ht="14.5" x14ac:dyDescent="0.35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</row>
    <row r="348" spans="1:26" ht="14.5" x14ac:dyDescent="0.35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</row>
    <row r="349" spans="1:26" ht="14.5" x14ac:dyDescent="0.35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</row>
    <row r="350" spans="1:26" ht="14.5" x14ac:dyDescent="0.35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</row>
    <row r="351" spans="1:26" ht="14.5" x14ac:dyDescent="0.35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</row>
    <row r="352" spans="1:26" ht="14.5" x14ac:dyDescent="0.35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</row>
    <row r="353" spans="1:26" ht="14.5" x14ac:dyDescent="0.35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</row>
    <row r="354" spans="1:26" ht="14.5" x14ac:dyDescent="0.35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</row>
    <row r="355" spans="1:26" ht="14.5" x14ac:dyDescent="0.35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</row>
    <row r="356" spans="1:26" ht="14.5" x14ac:dyDescent="0.35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</row>
    <row r="357" spans="1:26" ht="14.5" x14ac:dyDescent="0.35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</row>
    <row r="358" spans="1:26" ht="14.5" x14ac:dyDescent="0.35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</row>
    <row r="359" spans="1:26" ht="14.5" x14ac:dyDescent="0.35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</row>
    <row r="360" spans="1:26" ht="14.5" x14ac:dyDescent="0.35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</row>
    <row r="361" spans="1:26" ht="14.5" x14ac:dyDescent="0.35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</row>
    <row r="362" spans="1:26" ht="14.5" x14ac:dyDescent="0.35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</row>
    <row r="363" spans="1:26" ht="14.5" x14ac:dyDescent="0.35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</row>
    <row r="364" spans="1:26" ht="14.5" x14ac:dyDescent="0.35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</row>
    <row r="365" spans="1:26" ht="14.5" x14ac:dyDescent="0.35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</row>
    <row r="366" spans="1:26" ht="14.5" x14ac:dyDescent="0.3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</row>
    <row r="367" spans="1:26" ht="14.5" x14ac:dyDescent="0.35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</row>
    <row r="368" spans="1:26" ht="14.5" x14ac:dyDescent="0.35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</row>
    <row r="369" spans="1:26" ht="14.5" x14ac:dyDescent="0.35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</row>
    <row r="370" spans="1:26" ht="14.5" x14ac:dyDescent="0.35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</row>
    <row r="371" spans="1:26" ht="14.5" x14ac:dyDescent="0.35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</row>
    <row r="372" spans="1:26" ht="14.5" x14ac:dyDescent="0.35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</row>
    <row r="373" spans="1:26" ht="14.5" x14ac:dyDescent="0.35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</row>
    <row r="374" spans="1:26" ht="14.5" x14ac:dyDescent="0.35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</row>
    <row r="375" spans="1:26" ht="14.5" x14ac:dyDescent="0.35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</row>
    <row r="376" spans="1:26" ht="14.5" x14ac:dyDescent="0.35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</row>
    <row r="377" spans="1:26" ht="14.5" x14ac:dyDescent="0.35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</row>
    <row r="378" spans="1:26" ht="14.5" x14ac:dyDescent="0.35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</row>
    <row r="379" spans="1:26" ht="14.5" x14ac:dyDescent="0.35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</row>
    <row r="380" spans="1:26" ht="14.5" x14ac:dyDescent="0.35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</row>
    <row r="381" spans="1:26" ht="14.5" x14ac:dyDescent="0.35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</row>
    <row r="382" spans="1:26" ht="14.5" x14ac:dyDescent="0.35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</row>
    <row r="383" spans="1:26" ht="14.5" x14ac:dyDescent="0.35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</row>
    <row r="384" spans="1:26" ht="14.5" x14ac:dyDescent="0.35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</row>
    <row r="385" spans="1:26" ht="14.5" x14ac:dyDescent="0.35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</row>
    <row r="386" spans="1:26" ht="14.5" x14ac:dyDescent="0.35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</row>
    <row r="387" spans="1:26" ht="14.5" x14ac:dyDescent="0.35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</row>
    <row r="388" spans="1:26" ht="14.5" x14ac:dyDescent="0.35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</row>
    <row r="389" spans="1:26" ht="14.5" x14ac:dyDescent="0.35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</row>
    <row r="390" spans="1:26" ht="14.5" x14ac:dyDescent="0.35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</row>
    <row r="391" spans="1:26" ht="14.5" x14ac:dyDescent="0.35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</row>
    <row r="392" spans="1:26" ht="14.5" x14ac:dyDescent="0.35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</row>
    <row r="393" spans="1:26" ht="14.5" x14ac:dyDescent="0.35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</row>
    <row r="394" spans="1:26" ht="14.5" x14ac:dyDescent="0.35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</row>
    <row r="395" spans="1:26" ht="14.5" x14ac:dyDescent="0.35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</row>
    <row r="396" spans="1:26" ht="14.5" x14ac:dyDescent="0.35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</row>
    <row r="397" spans="1:26" ht="14.5" x14ac:dyDescent="0.35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</row>
    <row r="398" spans="1:26" ht="14.5" x14ac:dyDescent="0.35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</row>
    <row r="399" spans="1:26" ht="14.5" x14ac:dyDescent="0.35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</row>
    <row r="400" spans="1:26" ht="14.5" x14ac:dyDescent="0.35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</row>
    <row r="401" spans="1:26" ht="14.5" x14ac:dyDescent="0.35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</row>
    <row r="402" spans="1:26" ht="14.5" x14ac:dyDescent="0.35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</row>
    <row r="403" spans="1:26" ht="14.5" x14ac:dyDescent="0.35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</row>
    <row r="404" spans="1:26" ht="14.5" x14ac:dyDescent="0.35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</row>
    <row r="405" spans="1:26" ht="14.5" x14ac:dyDescent="0.35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</row>
    <row r="406" spans="1:26" ht="14.5" x14ac:dyDescent="0.35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</row>
    <row r="407" spans="1:26" ht="14.5" x14ac:dyDescent="0.35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</row>
    <row r="408" spans="1:26" ht="14.5" x14ac:dyDescent="0.35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</row>
    <row r="409" spans="1:26" ht="14.5" x14ac:dyDescent="0.35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</row>
    <row r="410" spans="1:26" ht="14.5" x14ac:dyDescent="0.35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</row>
    <row r="411" spans="1:26" ht="14.5" x14ac:dyDescent="0.35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</row>
    <row r="412" spans="1:26" ht="14.5" x14ac:dyDescent="0.35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</row>
    <row r="413" spans="1:26" ht="14.5" x14ac:dyDescent="0.35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</row>
    <row r="414" spans="1:26" ht="14.5" x14ac:dyDescent="0.35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</row>
    <row r="415" spans="1:26" ht="14.5" x14ac:dyDescent="0.35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</row>
    <row r="416" spans="1:26" ht="14.5" x14ac:dyDescent="0.35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</row>
    <row r="417" spans="1:26" ht="14.5" x14ac:dyDescent="0.35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</row>
    <row r="418" spans="1:26" ht="14.5" x14ac:dyDescent="0.35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</row>
    <row r="419" spans="1:26" ht="14.5" x14ac:dyDescent="0.35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</row>
    <row r="420" spans="1:26" ht="14.5" x14ac:dyDescent="0.35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</row>
    <row r="421" spans="1:26" ht="14.5" x14ac:dyDescent="0.35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</row>
    <row r="422" spans="1:26" ht="14.5" x14ac:dyDescent="0.35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</row>
    <row r="423" spans="1:26" ht="14.5" x14ac:dyDescent="0.35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</row>
    <row r="424" spans="1:26" ht="14.5" x14ac:dyDescent="0.35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</row>
    <row r="425" spans="1:26" ht="14.5" x14ac:dyDescent="0.35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</row>
    <row r="426" spans="1:26" ht="14.5" x14ac:dyDescent="0.35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</row>
    <row r="427" spans="1:26" ht="14.5" x14ac:dyDescent="0.35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</row>
    <row r="428" spans="1:26" ht="14.5" x14ac:dyDescent="0.35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</row>
    <row r="429" spans="1:26" ht="14.5" x14ac:dyDescent="0.35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</row>
    <row r="430" spans="1:26" ht="14.5" x14ac:dyDescent="0.35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</row>
    <row r="431" spans="1:26" ht="14.5" x14ac:dyDescent="0.35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</row>
    <row r="432" spans="1:26" ht="14.5" x14ac:dyDescent="0.35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</row>
    <row r="433" spans="1:26" ht="14.5" x14ac:dyDescent="0.35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</row>
    <row r="434" spans="1:26" ht="14.5" x14ac:dyDescent="0.35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</row>
    <row r="435" spans="1:26" ht="14.5" x14ac:dyDescent="0.35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</row>
    <row r="436" spans="1:26" ht="14.5" x14ac:dyDescent="0.35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</row>
    <row r="437" spans="1:26" ht="14.5" x14ac:dyDescent="0.35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</row>
    <row r="438" spans="1:26" ht="14.5" x14ac:dyDescent="0.35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</row>
    <row r="439" spans="1:26" ht="14.5" x14ac:dyDescent="0.35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</row>
    <row r="440" spans="1:26" ht="14.5" x14ac:dyDescent="0.35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</row>
    <row r="441" spans="1:26" ht="14.5" x14ac:dyDescent="0.35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</row>
    <row r="442" spans="1:26" ht="14.5" x14ac:dyDescent="0.35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</row>
    <row r="443" spans="1:26" ht="14.5" x14ac:dyDescent="0.35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</row>
    <row r="444" spans="1:26" ht="14.5" x14ac:dyDescent="0.35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</row>
    <row r="445" spans="1:26" ht="14.5" x14ac:dyDescent="0.35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</row>
    <row r="446" spans="1:26" ht="14.5" x14ac:dyDescent="0.35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</row>
    <row r="447" spans="1:26" ht="14.5" x14ac:dyDescent="0.35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</row>
    <row r="448" spans="1:26" ht="14.5" x14ac:dyDescent="0.35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</row>
    <row r="449" spans="1:26" ht="14.5" x14ac:dyDescent="0.35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</row>
    <row r="450" spans="1:26" ht="14.5" x14ac:dyDescent="0.35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</row>
    <row r="451" spans="1:26" ht="14.5" x14ac:dyDescent="0.35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</row>
    <row r="452" spans="1:26" ht="14.5" x14ac:dyDescent="0.35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</row>
    <row r="453" spans="1:26" ht="14.5" x14ac:dyDescent="0.35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</row>
    <row r="454" spans="1:26" ht="14.5" x14ac:dyDescent="0.35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</row>
    <row r="455" spans="1:26" ht="14.5" x14ac:dyDescent="0.35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</row>
    <row r="456" spans="1:26" ht="14.5" x14ac:dyDescent="0.35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</row>
    <row r="457" spans="1:26" ht="14.5" x14ac:dyDescent="0.35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</row>
    <row r="458" spans="1:26" ht="14.5" x14ac:dyDescent="0.35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</row>
    <row r="459" spans="1:26" ht="14.5" x14ac:dyDescent="0.35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</row>
    <row r="460" spans="1:26" ht="14.5" x14ac:dyDescent="0.35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</row>
    <row r="461" spans="1:26" ht="14.5" x14ac:dyDescent="0.35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</row>
    <row r="462" spans="1:26" ht="14.5" x14ac:dyDescent="0.3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</row>
    <row r="463" spans="1:26" ht="14.5" x14ac:dyDescent="0.3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</row>
    <row r="464" spans="1:26" ht="14.5" x14ac:dyDescent="0.3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</row>
    <row r="465" spans="1:26" ht="14.5" x14ac:dyDescent="0.3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</row>
    <row r="466" spans="1:26" ht="14.5" x14ac:dyDescent="0.3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</row>
    <row r="467" spans="1:26" ht="14.5" x14ac:dyDescent="0.3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</row>
    <row r="468" spans="1:26" ht="14.5" x14ac:dyDescent="0.3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</row>
    <row r="469" spans="1:26" ht="14.5" x14ac:dyDescent="0.3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</row>
    <row r="470" spans="1:26" ht="14.5" x14ac:dyDescent="0.3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</row>
    <row r="471" spans="1:26" ht="14.5" x14ac:dyDescent="0.3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</row>
    <row r="472" spans="1:26" ht="14.5" x14ac:dyDescent="0.3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</row>
    <row r="473" spans="1:26" ht="14.5" x14ac:dyDescent="0.35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</row>
    <row r="474" spans="1:26" ht="14.5" x14ac:dyDescent="0.35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</row>
    <row r="475" spans="1:26" ht="14.5" x14ac:dyDescent="0.35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</row>
    <row r="476" spans="1:26" ht="14.5" x14ac:dyDescent="0.3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</row>
    <row r="477" spans="1:26" ht="14.5" x14ac:dyDescent="0.3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</row>
    <row r="478" spans="1:26" ht="14.5" x14ac:dyDescent="0.3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</row>
    <row r="479" spans="1:26" ht="14.5" x14ac:dyDescent="0.35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</row>
    <row r="480" spans="1:26" ht="14.5" x14ac:dyDescent="0.35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</row>
    <row r="481" spans="1:26" ht="14.5" x14ac:dyDescent="0.35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</row>
    <row r="482" spans="1:26" ht="14.5" x14ac:dyDescent="0.3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</row>
    <row r="483" spans="1:26" ht="14.5" x14ac:dyDescent="0.3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</row>
    <row r="484" spans="1:26" ht="14.5" x14ac:dyDescent="0.3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</row>
    <row r="485" spans="1:26" ht="14.5" x14ac:dyDescent="0.35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</row>
    <row r="486" spans="1:26" ht="14.5" x14ac:dyDescent="0.35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</row>
    <row r="487" spans="1:26" ht="14.5" x14ac:dyDescent="0.35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</row>
    <row r="488" spans="1:26" ht="14.5" x14ac:dyDescent="0.3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</row>
    <row r="489" spans="1:26" ht="14.5" x14ac:dyDescent="0.3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</row>
    <row r="490" spans="1:26" ht="14.5" x14ac:dyDescent="0.3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</row>
    <row r="491" spans="1:26" ht="14.5" x14ac:dyDescent="0.35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</row>
    <row r="492" spans="1:26" ht="14.5" x14ac:dyDescent="0.35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</row>
    <row r="493" spans="1:26" ht="14.5" x14ac:dyDescent="0.3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</row>
    <row r="494" spans="1:26" ht="14.5" x14ac:dyDescent="0.3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</row>
    <row r="495" spans="1:26" ht="14.5" x14ac:dyDescent="0.35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</row>
    <row r="496" spans="1:26" ht="14.5" x14ac:dyDescent="0.3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</row>
    <row r="497" spans="1:26" ht="14.5" x14ac:dyDescent="0.35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</row>
    <row r="498" spans="1:26" ht="14.5" x14ac:dyDescent="0.3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</row>
    <row r="499" spans="1:26" ht="14.5" x14ac:dyDescent="0.35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</row>
    <row r="500" spans="1:26" ht="14.5" x14ac:dyDescent="0.3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</row>
    <row r="501" spans="1:26" ht="14.5" x14ac:dyDescent="0.3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</row>
    <row r="502" spans="1:26" ht="14.5" x14ac:dyDescent="0.3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</row>
    <row r="503" spans="1:26" ht="14.5" x14ac:dyDescent="0.35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</row>
    <row r="504" spans="1:26" ht="14.5" x14ac:dyDescent="0.35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</row>
    <row r="505" spans="1:26" ht="14.5" x14ac:dyDescent="0.35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</row>
    <row r="506" spans="1:26" ht="14.5" x14ac:dyDescent="0.3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</row>
    <row r="507" spans="1:26" ht="14.5" x14ac:dyDescent="0.3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</row>
    <row r="508" spans="1:26" ht="14.5" x14ac:dyDescent="0.3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</row>
    <row r="509" spans="1:26" ht="14.5" x14ac:dyDescent="0.35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</row>
    <row r="510" spans="1:26" ht="14.5" x14ac:dyDescent="0.35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</row>
    <row r="511" spans="1:26" ht="14.5" x14ac:dyDescent="0.35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</row>
    <row r="512" spans="1:26" ht="14.5" x14ac:dyDescent="0.3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</row>
    <row r="513" spans="1:26" ht="14.5" x14ac:dyDescent="0.3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</row>
    <row r="514" spans="1:26" ht="14.5" x14ac:dyDescent="0.3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</row>
    <row r="515" spans="1:26" ht="14.5" x14ac:dyDescent="0.35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</row>
    <row r="516" spans="1:26" ht="14.5" x14ac:dyDescent="0.35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</row>
    <row r="517" spans="1:26" ht="14.5" x14ac:dyDescent="0.35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</row>
    <row r="518" spans="1:26" ht="14.5" x14ac:dyDescent="0.3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</row>
    <row r="519" spans="1:26" ht="14.5" x14ac:dyDescent="0.3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</row>
    <row r="520" spans="1:26" ht="14.5" x14ac:dyDescent="0.3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</row>
    <row r="521" spans="1:26" ht="14.5" x14ac:dyDescent="0.35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</row>
    <row r="522" spans="1:26" ht="14.5" x14ac:dyDescent="0.35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</row>
    <row r="523" spans="1:26" ht="14.5" x14ac:dyDescent="0.35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</row>
    <row r="524" spans="1:26" ht="14.5" x14ac:dyDescent="0.3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</row>
    <row r="525" spans="1:26" ht="14.5" x14ac:dyDescent="0.3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</row>
    <row r="526" spans="1:26" ht="14.5" x14ac:dyDescent="0.3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</row>
    <row r="527" spans="1:26" ht="14.5" x14ac:dyDescent="0.35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</row>
    <row r="528" spans="1:26" ht="14.5" x14ac:dyDescent="0.35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</row>
    <row r="529" spans="1:26" ht="14.5" x14ac:dyDescent="0.35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</row>
    <row r="530" spans="1:26" ht="14.5" x14ac:dyDescent="0.35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</row>
    <row r="531" spans="1:26" ht="14.5" x14ac:dyDescent="0.35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</row>
    <row r="532" spans="1:26" ht="14.5" x14ac:dyDescent="0.35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</row>
    <row r="533" spans="1:26" ht="14.5" x14ac:dyDescent="0.35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</row>
    <row r="534" spans="1:26" ht="14.5" x14ac:dyDescent="0.35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</row>
    <row r="535" spans="1:26" ht="14.5" x14ac:dyDescent="0.35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</row>
    <row r="536" spans="1:26" ht="14.5" x14ac:dyDescent="0.35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</row>
    <row r="537" spans="1:26" ht="14.5" x14ac:dyDescent="0.35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</row>
    <row r="538" spans="1:26" ht="14.5" x14ac:dyDescent="0.35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</row>
    <row r="539" spans="1:26" ht="14.5" x14ac:dyDescent="0.35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</row>
    <row r="540" spans="1:26" ht="14.5" x14ac:dyDescent="0.35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</row>
    <row r="541" spans="1:26" ht="14.5" x14ac:dyDescent="0.35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</row>
    <row r="542" spans="1:26" ht="14.5" x14ac:dyDescent="0.35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</row>
    <row r="543" spans="1:26" ht="14.5" x14ac:dyDescent="0.35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</row>
    <row r="544" spans="1:26" ht="14.5" x14ac:dyDescent="0.35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</row>
    <row r="545" spans="1:26" ht="14.5" x14ac:dyDescent="0.3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</row>
    <row r="546" spans="1:26" ht="14.5" x14ac:dyDescent="0.3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</row>
    <row r="547" spans="1:26" ht="14.5" x14ac:dyDescent="0.3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</row>
    <row r="548" spans="1:26" ht="14.5" x14ac:dyDescent="0.3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</row>
    <row r="549" spans="1:26" ht="14.5" x14ac:dyDescent="0.3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</row>
    <row r="550" spans="1:26" ht="14.5" x14ac:dyDescent="0.3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</row>
    <row r="551" spans="1:26" ht="14.5" x14ac:dyDescent="0.3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</row>
    <row r="552" spans="1:26" ht="14.5" x14ac:dyDescent="0.3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</row>
    <row r="553" spans="1:26" ht="14.5" x14ac:dyDescent="0.3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</row>
    <row r="554" spans="1:26" ht="14.5" x14ac:dyDescent="0.3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</row>
    <row r="555" spans="1:26" ht="14.5" x14ac:dyDescent="0.3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</row>
    <row r="556" spans="1:26" ht="14.5" x14ac:dyDescent="0.3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</row>
    <row r="557" spans="1:26" ht="14.5" x14ac:dyDescent="0.3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</row>
    <row r="558" spans="1:26" ht="14.5" x14ac:dyDescent="0.3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</row>
    <row r="559" spans="1:26" ht="14.5" x14ac:dyDescent="0.3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</row>
    <row r="560" spans="1:26" ht="14.5" x14ac:dyDescent="0.3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</row>
    <row r="561" spans="1:26" ht="14.5" x14ac:dyDescent="0.3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</row>
    <row r="562" spans="1:26" ht="14.5" x14ac:dyDescent="0.3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</row>
    <row r="563" spans="1:26" ht="14.5" x14ac:dyDescent="0.3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</row>
    <row r="564" spans="1:26" ht="14.5" x14ac:dyDescent="0.3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</row>
    <row r="565" spans="1:26" ht="14.5" x14ac:dyDescent="0.3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</row>
    <row r="566" spans="1:26" ht="14.5" x14ac:dyDescent="0.3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</row>
    <row r="567" spans="1:26" ht="14.5" x14ac:dyDescent="0.3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</row>
    <row r="568" spans="1:26" ht="14.5" x14ac:dyDescent="0.3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</row>
    <row r="569" spans="1:26" ht="14.5" x14ac:dyDescent="0.3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</row>
    <row r="570" spans="1:26" ht="14.5" x14ac:dyDescent="0.3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</row>
    <row r="571" spans="1:26" ht="14.5" x14ac:dyDescent="0.3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</row>
    <row r="572" spans="1:26" ht="14.5" x14ac:dyDescent="0.3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</row>
    <row r="573" spans="1:26" ht="14.5" x14ac:dyDescent="0.3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</row>
    <row r="574" spans="1:26" ht="14.5" x14ac:dyDescent="0.3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</row>
    <row r="575" spans="1:26" ht="14.5" x14ac:dyDescent="0.3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</row>
    <row r="576" spans="1:26" ht="14.5" x14ac:dyDescent="0.3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</row>
    <row r="577" spans="1:26" ht="14.5" x14ac:dyDescent="0.3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</row>
    <row r="578" spans="1:26" ht="14.5" x14ac:dyDescent="0.3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</row>
    <row r="579" spans="1:26" ht="14.5" x14ac:dyDescent="0.3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</row>
    <row r="580" spans="1:26" ht="14.5" x14ac:dyDescent="0.3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</row>
    <row r="581" spans="1:26" ht="14.5" x14ac:dyDescent="0.3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</row>
    <row r="582" spans="1:26" ht="14.5" x14ac:dyDescent="0.3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</row>
    <row r="583" spans="1:26" ht="14.5" x14ac:dyDescent="0.3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</row>
    <row r="584" spans="1:26" ht="14.5" x14ac:dyDescent="0.3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</row>
    <row r="585" spans="1:26" ht="14.5" x14ac:dyDescent="0.3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</row>
    <row r="586" spans="1:26" ht="14.5" x14ac:dyDescent="0.3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</row>
    <row r="587" spans="1:26" ht="14.5" x14ac:dyDescent="0.3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</row>
    <row r="588" spans="1:26" ht="14.5" x14ac:dyDescent="0.3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</row>
    <row r="589" spans="1:26" ht="14.5" x14ac:dyDescent="0.3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</row>
    <row r="590" spans="1:26" ht="14.5" x14ac:dyDescent="0.3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</row>
    <row r="591" spans="1:26" ht="14.5" x14ac:dyDescent="0.3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</row>
    <row r="592" spans="1:26" ht="14.5" x14ac:dyDescent="0.3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</row>
    <row r="593" spans="1:26" ht="14.5" x14ac:dyDescent="0.3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</row>
    <row r="594" spans="1:26" ht="14.5" x14ac:dyDescent="0.3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</row>
    <row r="595" spans="1:26" ht="14.5" x14ac:dyDescent="0.3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</row>
    <row r="596" spans="1:26" ht="14.5" x14ac:dyDescent="0.3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</row>
    <row r="597" spans="1:26" ht="14.5" x14ac:dyDescent="0.3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</row>
    <row r="598" spans="1:26" ht="14.5" x14ac:dyDescent="0.3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</row>
    <row r="599" spans="1:26" ht="14.5" x14ac:dyDescent="0.3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</row>
    <row r="600" spans="1:26" ht="14.5" x14ac:dyDescent="0.35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</row>
    <row r="601" spans="1:26" ht="14.5" x14ac:dyDescent="0.35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</row>
    <row r="602" spans="1:26" ht="14.5" x14ac:dyDescent="0.35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</row>
    <row r="603" spans="1:26" ht="14.5" x14ac:dyDescent="0.35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</row>
    <row r="604" spans="1:26" ht="14.5" x14ac:dyDescent="0.35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</row>
    <row r="605" spans="1:26" ht="14.5" x14ac:dyDescent="0.35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</row>
    <row r="606" spans="1:26" ht="14.5" x14ac:dyDescent="0.35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</row>
    <row r="607" spans="1:26" ht="14.5" x14ac:dyDescent="0.35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</row>
    <row r="608" spans="1:26" ht="14.5" x14ac:dyDescent="0.35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</row>
    <row r="609" spans="1:26" ht="14.5" x14ac:dyDescent="0.35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</row>
    <row r="610" spans="1:26" ht="14.5" x14ac:dyDescent="0.35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</row>
    <row r="611" spans="1:26" ht="14.5" x14ac:dyDescent="0.35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</row>
    <row r="612" spans="1:26" ht="14.5" x14ac:dyDescent="0.35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</row>
    <row r="613" spans="1:26" ht="14.5" x14ac:dyDescent="0.35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</row>
    <row r="614" spans="1:26" ht="14.5" x14ac:dyDescent="0.35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</row>
    <row r="615" spans="1:26" ht="14.5" x14ac:dyDescent="0.3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</row>
    <row r="616" spans="1:26" ht="14.5" x14ac:dyDescent="0.3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</row>
    <row r="617" spans="1:26" ht="14.5" x14ac:dyDescent="0.3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</row>
    <row r="618" spans="1:26" ht="14.5" x14ac:dyDescent="0.3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</row>
    <row r="619" spans="1:26" ht="14.5" x14ac:dyDescent="0.3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</row>
    <row r="620" spans="1:26" ht="14.5" x14ac:dyDescent="0.3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</row>
    <row r="621" spans="1:26" ht="14.5" x14ac:dyDescent="0.3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</row>
    <row r="622" spans="1:26" ht="14.5" x14ac:dyDescent="0.3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</row>
    <row r="623" spans="1:26" ht="14.5" x14ac:dyDescent="0.3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</row>
    <row r="624" spans="1:26" ht="14.5" x14ac:dyDescent="0.3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</row>
    <row r="625" spans="1:26" ht="14.5" x14ac:dyDescent="0.3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</row>
    <row r="626" spans="1:26" ht="14.5" x14ac:dyDescent="0.3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</row>
    <row r="627" spans="1:26" ht="14.5" x14ac:dyDescent="0.3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</row>
    <row r="628" spans="1:26" ht="14.5" x14ac:dyDescent="0.3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</row>
    <row r="629" spans="1:26" ht="14.5" x14ac:dyDescent="0.3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</row>
    <row r="630" spans="1:26" ht="14.5" x14ac:dyDescent="0.3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</row>
    <row r="631" spans="1:26" ht="14.5" x14ac:dyDescent="0.3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</row>
    <row r="632" spans="1:26" ht="14.5" x14ac:dyDescent="0.3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</row>
    <row r="633" spans="1:26" ht="14.5" x14ac:dyDescent="0.3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</row>
    <row r="634" spans="1:26" ht="14.5" x14ac:dyDescent="0.3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</row>
    <row r="635" spans="1:26" ht="14.5" x14ac:dyDescent="0.3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</row>
    <row r="636" spans="1:26" ht="14.5" x14ac:dyDescent="0.3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</row>
    <row r="637" spans="1:26" ht="14.5" x14ac:dyDescent="0.3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</row>
    <row r="638" spans="1:26" ht="14.5" x14ac:dyDescent="0.3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</row>
    <row r="639" spans="1:26" ht="14.5" x14ac:dyDescent="0.3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</row>
    <row r="640" spans="1:26" ht="14.5" x14ac:dyDescent="0.3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</row>
    <row r="641" spans="1:26" ht="14.5" x14ac:dyDescent="0.3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</row>
    <row r="642" spans="1:26" ht="14.5" x14ac:dyDescent="0.3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</row>
    <row r="643" spans="1:26" ht="14.5" x14ac:dyDescent="0.3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</row>
    <row r="644" spans="1:26" ht="14.5" x14ac:dyDescent="0.3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</row>
    <row r="645" spans="1:26" ht="14.5" x14ac:dyDescent="0.3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</row>
    <row r="646" spans="1:26" ht="14.5" x14ac:dyDescent="0.3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</row>
    <row r="647" spans="1:26" ht="14.5" x14ac:dyDescent="0.3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</row>
    <row r="648" spans="1:26" ht="14.5" x14ac:dyDescent="0.3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</row>
    <row r="649" spans="1:26" ht="14.5" x14ac:dyDescent="0.3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</row>
    <row r="650" spans="1:26" ht="14.5" x14ac:dyDescent="0.3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</row>
    <row r="651" spans="1:26" ht="14.5" x14ac:dyDescent="0.35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</row>
    <row r="652" spans="1:26" ht="14.5" x14ac:dyDescent="0.35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</row>
    <row r="653" spans="1:26" ht="14.5" x14ac:dyDescent="0.35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</row>
    <row r="654" spans="1:26" ht="14.5" x14ac:dyDescent="0.35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</row>
    <row r="655" spans="1:26" ht="14.5" x14ac:dyDescent="0.35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</row>
    <row r="656" spans="1:26" ht="14.5" x14ac:dyDescent="0.35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</row>
    <row r="657" spans="1:26" ht="14.5" x14ac:dyDescent="0.35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</row>
    <row r="658" spans="1:26" ht="14.5" x14ac:dyDescent="0.35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</row>
    <row r="659" spans="1:26" ht="14.5" x14ac:dyDescent="0.35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</row>
    <row r="660" spans="1:26" ht="14.5" x14ac:dyDescent="0.35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</row>
    <row r="661" spans="1:26" ht="14.5" x14ac:dyDescent="0.35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</row>
    <row r="662" spans="1:26" ht="14.5" x14ac:dyDescent="0.35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</row>
    <row r="663" spans="1:26" ht="14.5" x14ac:dyDescent="0.35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</row>
    <row r="664" spans="1:26" ht="14.5" x14ac:dyDescent="0.35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</row>
    <row r="665" spans="1:26" ht="14.5" x14ac:dyDescent="0.35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</row>
    <row r="666" spans="1:26" ht="14.5" x14ac:dyDescent="0.35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</row>
    <row r="667" spans="1:26" ht="14.5" x14ac:dyDescent="0.35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</row>
    <row r="668" spans="1:26" ht="14.5" x14ac:dyDescent="0.35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</row>
    <row r="669" spans="1:26" ht="14.5" x14ac:dyDescent="0.35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</row>
    <row r="670" spans="1:26" ht="14.5" x14ac:dyDescent="0.35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</row>
    <row r="671" spans="1:26" ht="14.5" x14ac:dyDescent="0.35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</row>
    <row r="672" spans="1:26" ht="14.5" x14ac:dyDescent="0.3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</row>
    <row r="673" spans="1:26" ht="14.5" x14ac:dyDescent="0.3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</row>
    <row r="674" spans="1:26" ht="14.5" x14ac:dyDescent="0.3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</row>
    <row r="675" spans="1:26" ht="14.5" x14ac:dyDescent="0.3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</row>
    <row r="676" spans="1:26" ht="14.5" x14ac:dyDescent="0.3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</row>
    <row r="677" spans="1:26" ht="14.5" x14ac:dyDescent="0.3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</row>
    <row r="678" spans="1:26" ht="14.5" x14ac:dyDescent="0.3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</row>
    <row r="679" spans="1:26" ht="14.5" x14ac:dyDescent="0.3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</row>
    <row r="680" spans="1:26" ht="14.5" x14ac:dyDescent="0.3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</row>
    <row r="681" spans="1:26" ht="14.5" x14ac:dyDescent="0.3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</row>
    <row r="682" spans="1:26" ht="14.5" x14ac:dyDescent="0.3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</row>
    <row r="683" spans="1:26" ht="14.5" x14ac:dyDescent="0.3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</row>
    <row r="684" spans="1:26" ht="14.5" x14ac:dyDescent="0.3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</row>
    <row r="685" spans="1:26" ht="14.5" x14ac:dyDescent="0.3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</row>
    <row r="686" spans="1:26" ht="14.5" x14ac:dyDescent="0.3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</row>
    <row r="687" spans="1:26" ht="14.5" x14ac:dyDescent="0.3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</row>
    <row r="688" spans="1:26" ht="14.5" x14ac:dyDescent="0.3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</row>
    <row r="689" spans="1:26" ht="14.5" x14ac:dyDescent="0.3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</row>
    <row r="690" spans="1:26" ht="14.5" x14ac:dyDescent="0.3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</row>
    <row r="691" spans="1:26" ht="14.5" x14ac:dyDescent="0.3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</row>
    <row r="692" spans="1:26" ht="14.5" x14ac:dyDescent="0.3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</row>
    <row r="693" spans="1:26" ht="14.5" x14ac:dyDescent="0.3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</row>
    <row r="694" spans="1:26" ht="14.5" x14ac:dyDescent="0.3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</row>
    <row r="695" spans="1:26" ht="14.5" x14ac:dyDescent="0.3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</row>
    <row r="696" spans="1:26" ht="14.5" x14ac:dyDescent="0.3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</row>
    <row r="697" spans="1:26" ht="14.5" x14ac:dyDescent="0.3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</row>
    <row r="698" spans="1:26" ht="14.5" x14ac:dyDescent="0.3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</row>
    <row r="699" spans="1:26" ht="14.5" x14ac:dyDescent="0.3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</row>
    <row r="700" spans="1:26" ht="14.5" x14ac:dyDescent="0.3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</row>
    <row r="701" spans="1:26" ht="14.5" x14ac:dyDescent="0.3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</row>
    <row r="702" spans="1:26" ht="14.5" x14ac:dyDescent="0.3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</row>
    <row r="703" spans="1:26" ht="14.5" x14ac:dyDescent="0.3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</row>
    <row r="704" spans="1:26" ht="14.5" x14ac:dyDescent="0.3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</row>
    <row r="705" spans="1:26" ht="14.5" x14ac:dyDescent="0.3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</row>
    <row r="706" spans="1:26" ht="14.5" x14ac:dyDescent="0.3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</row>
    <row r="707" spans="1:26" ht="14.5" x14ac:dyDescent="0.3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</row>
    <row r="708" spans="1:26" ht="14.5" x14ac:dyDescent="0.3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</row>
    <row r="709" spans="1:26" ht="14.5" x14ac:dyDescent="0.3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</row>
    <row r="710" spans="1:26" ht="14.5" x14ac:dyDescent="0.3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</row>
    <row r="711" spans="1:26" ht="14.5" x14ac:dyDescent="0.3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</row>
    <row r="712" spans="1:26" ht="14.5" x14ac:dyDescent="0.3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</row>
    <row r="713" spans="1:26" ht="14.5" x14ac:dyDescent="0.3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</row>
    <row r="714" spans="1:26" ht="14.5" x14ac:dyDescent="0.3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</row>
    <row r="715" spans="1:26" ht="14.5" x14ac:dyDescent="0.3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</row>
    <row r="716" spans="1:26" ht="14.5" x14ac:dyDescent="0.3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</row>
    <row r="717" spans="1:26" ht="14.5" x14ac:dyDescent="0.3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</row>
    <row r="718" spans="1:26" ht="14.5" x14ac:dyDescent="0.3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</row>
    <row r="719" spans="1:26" ht="14.5" x14ac:dyDescent="0.3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</row>
    <row r="720" spans="1:26" ht="14.5" x14ac:dyDescent="0.3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</row>
    <row r="721" spans="1:26" ht="14.5" x14ac:dyDescent="0.3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</row>
    <row r="722" spans="1:26" ht="14.5" x14ac:dyDescent="0.3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</row>
    <row r="723" spans="1:26" ht="14.5" x14ac:dyDescent="0.3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</row>
    <row r="724" spans="1:26" ht="14.5" x14ac:dyDescent="0.3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</row>
    <row r="725" spans="1:26" ht="14.5" x14ac:dyDescent="0.3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</row>
    <row r="726" spans="1:26" ht="14.5" x14ac:dyDescent="0.3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</row>
    <row r="727" spans="1:26" ht="14.5" x14ac:dyDescent="0.3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</row>
    <row r="728" spans="1:26" ht="14.5" x14ac:dyDescent="0.3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</row>
    <row r="729" spans="1:26" ht="14.5" x14ac:dyDescent="0.3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</row>
    <row r="730" spans="1:26" ht="14.5" x14ac:dyDescent="0.3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</row>
    <row r="731" spans="1:26" ht="14.5" x14ac:dyDescent="0.3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</row>
    <row r="732" spans="1:26" ht="14.5" x14ac:dyDescent="0.3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</row>
    <row r="733" spans="1:26" ht="14.5" x14ac:dyDescent="0.3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</row>
    <row r="734" spans="1:26" ht="14.5" x14ac:dyDescent="0.3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</row>
    <row r="735" spans="1:26" ht="14.5" x14ac:dyDescent="0.3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</row>
    <row r="736" spans="1:26" ht="14.5" x14ac:dyDescent="0.3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</row>
    <row r="737" spans="1:26" ht="14.5" x14ac:dyDescent="0.3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</row>
    <row r="738" spans="1:26" ht="14.5" x14ac:dyDescent="0.3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</row>
    <row r="739" spans="1:26" ht="14.5" x14ac:dyDescent="0.3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</row>
    <row r="740" spans="1:26" ht="14.5" x14ac:dyDescent="0.3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</row>
    <row r="741" spans="1:26" ht="14.5" x14ac:dyDescent="0.3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</row>
    <row r="742" spans="1:26" ht="14.5" x14ac:dyDescent="0.3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</row>
    <row r="743" spans="1:26" ht="14.5" x14ac:dyDescent="0.35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</row>
    <row r="744" spans="1:26" ht="14.5" x14ac:dyDescent="0.35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</row>
    <row r="745" spans="1:26" ht="14.5" x14ac:dyDescent="0.35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</row>
    <row r="746" spans="1:26" ht="14.5" x14ac:dyDescent="0.35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</row>
    <row r="747" spans="1:26" ht="14.5" x14ac:dyDescent="0.3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</row>
    <row r="748" spans="1:26" ht="14.5" x14ac:dyDescent="0.35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</row>
    <row r="749" spans="1:26" ht="14.5" x14ac:dyDescent="0.35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</row>
    <row r="750" spans="1:26" ht="14.5" x14ac:dyDescent="0.35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</row>
    <row r="751" spans="1:26" ht="14.5" x14ac:dyDescent="0.35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</row>
    <row r="752" spans="1:26" ht="14.5" x14ac:dyDescent="0.35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</row>
    <row r="753" spans="1:26" ht="14.5" x14ac:dyDescent="0.35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</row>
    <row r="754" spans="1:26" ht="14.5" x14ac:dyDescent="0.35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</row>
    <row r="755" spans="1:26" ht="14.5" x14ac:dyDescent="0.35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</row>
    <row r="756" spans="1:26" ht="14.5" x14ac:dyDescent="0.35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</row>
    <row r="757" spans="1:26" ht="14.5" x14ac:dyDescent="0.35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</row>
    <row r="758" spans="1:26" ht="14.5" x14ac:dyDescent="0.35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</row>
    <row r="759" spans="1:26" ht="14.5" x14ac:dyDescent="0.35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</row>
    <row r="760" spans="1:26" ht="14.5" x14ac:dyDescent="0.35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</row>
    <row r="761" spans="1:26" ht="14.5" x14ac:dyDescent="0.35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</row>
    <row r="762" spans="1:26" ht="14.5" x14ac:dyDescent="0.35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</row>
    <row r="763" spans="1:26" ht="14.5" x14ac:dyDescent="0.35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</row>
    <row r="764" spans="1:26" ht="14.5" x14ac:dyDescent="0.35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</row>
    <row r="765" spans="1:26" ht="14.5" x14ac:dyDescent="0.35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</row>
    <row r="766" spans="1:26" ht="14.5" x14ac:dyDescent="0.35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</row>
    <row r="767" spans="1:26" ht="14.5" x14ac:dyDescent="0.35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</row>
    <row r="768" spans="1:26" ht="14.5" x14ac:dyDescent="0.35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</row>
    <row r="769" spans="1:26" ht="14.5" x14ac:dyDescent="0.35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</row>
    <row r="770" spans="1:26" ht="14.5" x14ac:dyDescent="0.35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</row>
    <row r="771" spans="1:26" ht="14.5" x14ac:dyDescent="0.35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</row>
    <row r="772" spans="1:26" ht="14.5" x14ac:dyDescent="0.35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</row>
    <row r="773" spans="1:26" ht="14.5" x14ac:dyDescent="0.35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</row>
    <row r="774" spans="1:26" ht="14.5" x14ac:dyDescent="0.35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</row>
    <row r="775" spans="1:26" ht="14.5" x14ac:dyDescent="0.35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</row>
    <row r="776" spans="1:26" ht="14.5" x14ac:dyDescent="0.35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</row>
    <row r="777" spans="1:26" ht="14.5" x14ac:dyDescent="0.35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</row>
    <row r="778" spans="1:26" ht="14.5" x14ac:dyDescent="0.35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</row>
    <row r="779" spans="1:26" ht="14.5" x14ac:dyDescent="0.35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</row>
    <row r="780" spans="1:26" ht="14.5" x14ac:dyDescent="0.35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</row>
    <row r="781" spans="1:26" ht="14.5" x14ac:dyDescent="0.35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</row>
    <row r="782" spans="1:26" ht="14.5" x14ac:dyDescent="0.35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</row>
    <row r="783" spans="1:26" ht="14.5" x14ac:dyDescent="0.35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</row>
    <row r="784" spans="1:26" ht="14.5" x14ac:dyDescent="0.35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</row>
    <row r="785" spans="1:26" ht="14.5" x14ac:dyDescent="0.35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</row>
    <row r="786" spans="1:26" ht="14.5" x14ac:dyDescent="0.35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</row>
    <row r="787" spans="1:26" ht="14.5" x14ac:dyDescent="0.35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</row>
    <row r="788" spans="1:26" ht="14.5" x14ac:dyDescent="0.35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</row>
    <row r="789" spans="1:26" ht="14.5" x14ac:dyDescent="0.35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</row>
    <row r="790" spans="1:26" ht="14.5" x14ac:dyDescent="0.35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</row>
    <row r="791" spans="1:26" ht="14.5" x14ac:dyDescent="0.35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</row>
    <row r="792" spans="1:26" ht="14.5" x14ac:dyDescent="0.35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</row>
    <row r="793" spans="1:26" ht="14.5" x14ac:dyDescent="0.35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</row>
    <row r="794" spans="1:26" ht="14.5" x14ac:dyDescent="0.35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</row>
    <row r="795" spans="1:26" ht="14.5" x14ac:dyDescent="0.35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</row>
    <row r="796" spans="1:26" ht="14.5" x14ac:dyDescent="0.35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</row>
    <row r="797" spans="1:26" ht="14.5" x14ac:dyDescent="0.35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</row>
    <row r="798" spans="1:26" ht="14.5" x14ac:dyDescent="0.35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</row>
    <row r="799" spans="1:26" ht="14.5" x14ac:dyDescent="0.35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</row>
    <row r="800" spans="1:26" ht="14.5" x14ac:dyDescent="0.35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</row>
    <row r="801" spans="1:26" ht="14.5" x14ac:dyDescent="0.35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</row>
    <row r="802" spans="1:26" ht="14.5" x14ac:dyDescent="0.35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</row>
    <row r="803" spans="1:26" ht="14.5" x14ac:dyDescent="0.35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</row>
    <row r="804" spans="1:26" ht="14.5" x14ac:dyDescent="0.35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</row>
    <row r="805" spans="1:26" ht="14.5" x14ac:dyDescent="0.35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</row>
    <row r="806" spans="1:26" ht="14.5" x14ac:dyDescent="0.35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</row>
    <row r="807" spans="1:26" ht="14.5" x14ac:dyDescent="0.35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</row>
    <row r="808" spans="1:26" ht="14.5" x14ac:dyDescent="0.35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</row>
    <row r="809" spans="1:26" ht="14.5" x14ac:dyDescent="0.35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</row>
    <row r="810" spans="1:26" ht="14.5" x14ac:dyDescent="0.35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</row>
    <row r="811" spans="1:26" ht="14.5" x14ac:dyDescent="0.35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</row>
    <row r="812" spans="1:26" ht="14.5" x14ac:dyDescent="0.35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</row>
    <row r="813" spans="1:26" ht="14.5" x14ac:dyDescent="0.35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</row>
    <row r="814" spans="1:26" ht="14.5" x14ac:dyDescent="0.35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</row>
    <row r="815" spans="1:26" ht="14.5" x14ac:dyDescent="0.35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</row>
    <row r="816" spans="1:26" ht="14.5" x14ac:dyDescent="0.35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</row>
    <row r="817" spans="1:26" ht="14.5" x14ac:dyDescent="0.35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</row>
    <row r="818" spans="1:26" ht="14.5" x14ac:dyDescent="0.35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</row>
    <row r="819" spans="1:26" ht="14.5" x14ac:dyDescent="0.35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</row>
    <row r="820" spans="1:26" ht="14.5" x14ac:dyDescent="0.3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</row>
    <row r="821" spans="1:26" ht="14.5" x14ac:dyDescent="0.3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</row>
    <row r="822" spans="1:26" ht="14.5" x14ac:dyDescent="0.3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</row>
    <row r="823" spans="1:26" ht="14.5" x14ac:dyDescent="0.3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</row>
    <row r="824" spans="1:26" ht="14.5" x14ac:dyDescent="0.3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</row>
    <row r="825" spans="1:26" ht="14.5" x14ac:dyDescent="0.3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</row>
    <row r="826" spans="1:26" ht="14.5" x14ac:dyDescent="0.3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</row>
    <row r="827" spans="1:26" ht="14.5" x14ac:dyDescent="0.3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</row>
    <row r="828" spans="1:26" ht="14.5" x14ac:dyDescent="0.3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</row>
    <row r="829" spans="1:26" ht="14.5" x14ac:dyDescent="0.3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</row>
    <row r="830" spans="1:26" ht="14.5" x14ac:dyDescent="0.3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</row>
    <row r="831" spans="1:26" ht="14.5" x14ac:dyDescent="0.3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</row>
    <row r="832" spans="1:26" ht="14.5" x14ac:dyDescent="0.35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</row>
    <row r="833" spans="1:26" ht="14.5" x14ac:dyDescent="0.35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</row>
    <row r="834" spans="1:26" ht="14.5" x14ac:dyDescent="0.35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</row>
    <row r="835" spans="1:26" ht="14.5" x14ac:dyDescent="0.35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</row>
    <row r="836" spans="1:26" ht="14.5" x14ac:dyDescent="0.35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</row>
    <row r="837" spans="1:26" ht="14.5" x14ac:dyDescent="0.35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</row>
    <row r="838" spans="1:26" ht="14.5" x14ac:dyDescent="0.35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</row>
    <row r="839" spans="1:26" ht="14.5" x14ac:dyDescent="0.35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</row>
    <row r="840" spans="1:26" ht="14.5" x14ac:dyDescent="0.35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</row>
    <row r="841" spans="1:26" ht="14.5" x14ac:dyDescent="0.35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</row>
    <row r="842" spans="1:26" ht="14.5" x14ac:dyDescent="0.35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</row>
    <row r="843" spans="1:26" ht="14.5" x14ac:dyDescent="0.35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</row>
    <row r="844" spans="1:26" ht="14.5" x14ac:dyDescent="0.35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</row>
    <row r="845" spans="1:26" ht="14.5" x14ac:dyDescent="0.35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</row>
    <row r="846" spans="1:26" ht="14.5" x14ac:dyDescent="0.35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</row>
    <row r="847" spans="1:26" ht="14.5" x14ac:dyDescent="0.35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</row>
    <row r="848" spans="1:26" ht="14.5" x14ac:dyDescent="0.35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</row>
    <row r="849" spans="1:26" ht="14.5" x14ac:dyDescent="0.35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</row>
    <row r="850" spans="1:26" ht="14.5" x14ac:dyDescent="0.35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</row>
    <row r="851" spans="1:26" ht="14.5" x14ac:dyDescent="0.35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</row>
    <row r="852" spans="1:26" ht="14.5" x14ac:dyDescent="0.35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</row>
    <row r="853" spans="1:26" ht="14.5" x14ac:dyDescent="0.35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</row>
    <row r="854" spans="1:26" ht="14.5" x14ac:dyDescent="0.35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</row>
    <row r="855" spans="1:26" ht="14.5" x14ac:dyDescent="0.35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</row>
    <row r="856" spans="1:26" ht="14.5" x14ac:dyDescent="0.35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</row>
    <row r="857" spans="1:26" ht="14.5" x14ac:dyDescent="0.35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</row>
    <row r="858" spans="1:26" ht="14.5" x14ac:dyDescent="0.35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</row>
    <row r="859" spans="1:26" ht="14.5" x14ac:dyDescent="0.35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</row>
    <row r="860" spans="1:26" ht="14.5" x14ac:dyDescent="0.35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</row>
    <row r="861" spans="1:26" ht="14.5" x14ac:dyDescent="0.35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</row>
    <row r="862" spans="1:26" ht="14.5" x14ac:dyDescent="0.35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</row>
    <row r="863" spans="1:26" ht="14.5" x14ac:dyDescent="0.35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</row>
    <row r="864" spans="1:26" ht="14.5" x14ac:dyDescent="0.35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</row>
    <row r="865" spans="1:26" ht="14.5" x14ac:dyDescent="0.35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</row>
    <row r="866" spans="1:26" ht="14.5" x14ac:dyDescent="0.35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</row>
    <row r="867" spans="1:26" ht="14.5" x14ac:dyDescent="0.35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</row>
    <row r="868" spans="1:26" ht="14.5" x14ac:dyDescent="0.35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</row>
    <row r="869" spans="1:26" ht="14.5" x14ac:dyDescent="0.35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</row>
    <row r="870" spans="1:26" ht="14.5" x14ac:dyDescent="0.35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</row>
    <row r="871" spans="1:26" ht="14.5" x14ac:dyDescent="0.35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</row>
    <row r="872" spans="1:26" ht="14.5" x14ac:dyDescent="0.35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</row>
    <row r="873" spans="1:26" ht="14.5" x14ac:dyDescent="0.35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</row>
    <row r="874" spans="1:26" ht="14.5" x14ac:dyDescent="0.35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</row>
    <row r="875" spans="1:26" ht="14.5" x14ac:dyDescent="0.35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</row>
    <row r="876" spans="1:26" ht="14.5" x14ac:dyDescent="0.35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</row>
    <row r="877" spans="1:26" ht="14.5" x14ac:dyDescent="0.35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</row>
    <row r="878" spans="1:26" ht="14.5" x14ac:dyDescent="0.35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</row>
    <row r="879" spans="1:26" ht="14.5" x14ac:dyDescent="0.35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</row>
    <row r="880" spans="1:26" ht="14.5" x14ac:dyDescent="0.35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</row>
    <row r="881" spans="1:26" ht="14.5" x14ac:dyDescent="0.35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</row>
    <row r="882" spans="1:26" ht="14.5" x14ac:dyDescent="0.35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</row>
    <row r="883" spans="1:26" ht="14.5" x14ac:dyDescent="0.35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</row>
    <row r="884" spans="1:26" ht="14.5" x14ac:dyDescent="0.35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</row>
    <row r="885" spans="1:26" ht="14.5" x14ac:dyDescent="0.35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</row>
    <row r="886" spans="1:26" ht="14.5" x14ac:dyDescent="0.35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</row>
    <row r="887" spans="1:26" ht="14.5" x14ac:dyDescent="0.35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</row>
    <row r="888" spans="1:26" ht="14.5" x14ac:dyDescent="0.35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</row>
    <row r="889" spans="1:26" ht="14.5" x14ac:dyDescent="0.35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</row>
    <row r="890" spans="1:26" ht="14.5" x14ac:dyDescent="0.35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</row>
    <row r="891" spans="1:26" ht="14.5" x14ac:dyDescent="0.35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</row>
    <row r="892" spans="1:26" ht="14.5" x14ac:dyDescent="0.35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</row>
    <row r="893" spans="1:26" ht="14.5" x14ac:dyDescent="0.3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</row>
    <row r="894" spans="1:26" ht="14.5" x14ac:dyDescent="0.35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</row>
    <row r="895" spans="1:26" ht="14.5" x14ac:dyDescent="0.35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</row>
    <row r="896" spans="1:26" ht="14.5" x14ac:dyDescent="0.35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</row>
    <row r="897" spans="1:26" ht="14.5" x14ac:dyDescent="0.35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</row>
    <row r="898" spans="1:26" ht="14.5" x14ac:dyDescent="0.35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</row>
    <row r="899" spans="1:26" ht="14.5" x14ac:dyDescent="0.35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</row>
    <row r="900" spans="1:26" ht="14.5" x14ac:dyDescent="0.35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</row>
    <row r="901" spans="1:26" ht="14.5" x14ac:dyDescent="0.35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</row>
    <row r="902" spans="1:26" ht="14.5" x14ac:dyDescent="0.35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</row>
    <row r="903" spans="1:26" ht="14.5" x14ac:dyDescent="0.35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</row>
    <row r="904" spans="1:26" ht="14.5" x14ac:dyDescent="0.35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</row>
    <row r="905" spans="1:26" ht="14.5" x14ac:dyDescent="0.35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</row>
    <row r="906" spans="1:26" ht="14.5" x14ac:dyDescent="0.35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</row>
    <row r="907" spans="1:26" ht="14.5" x14ac:dyDescent="0.35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</row>
    <row r="908" spans="1:26" ht="14.5" x14ac:dyDescent="0.35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</row>
    <row r="909" spans="1:26" ht="14.5" x14ac:dyDescent="0.35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</row>
    <row r="910" spans="1:26" ht="14.5" x14ac:dyDescent="0.35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</row>
    <row r="911" spans="1:26" ht="14.5" x14ac:dyDescent="0.35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</row>
    <row r="912" spans="1:26" ht="14.5" x14ac:dyDescent="0.35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</row>
    <row r="913" spans="1:26" ht="14.5" x14ac:dyDescent="0.35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</row>
    <row r="914" spans="1:26" ht="14.5" x14ac:dyDescent="0.35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</row>
    <row r="915" spans="1:26" ht="14.5" x14ac:dyDescent="0.35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</row>
    <row r="916" spans="1:26" ht="14.5" x14ac:dyDescent="0.35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</row>
    <row r="917" spans="1:26" ht="14.5" x14ac:dyDescent="0.35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</row>
    <row r="918" spans="1:26" ht="14.5" x14ac:dyDescent="0.35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</row>
    <row r="919" spans="1:26" ht="14.5" x14ac:dyDescent="0.35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</row>
    <row r="920" spans="1:26" ht="14.5" x14ac:dyDescent="0.35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</row>
    <row r="921" spans="1:26" ht="14.5" x14ac:dyDescent="0.3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</row>
    <row r="922" spans="1:26" ht="14.5" x14ac:dyDescent="0.3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</row>
    <row r="923" spans="1:26" ht="14.5" x14ac:dyDescent="0.3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</row>
    <row r="924" spans="1:26" ht="14.5" x14ac:dyDescent="0.3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</row>
    <row r="925" spans="1:26" ht="14.5" x14ac:dyDescent="0.3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</row>
    <row r="926" spans="1:26" ht="14.5" x14ac:dyDescent="0.3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</row>
    <row r="927" spans="1:26" ht="14.5" x14ac:dyDescent="0.3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</row>
    <row r="928" spans="1:26" ht="14.5" x14ac:dyDescent="0.3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</row>
    <row r="929" spans="1:26" ht="14.5" x14ac:dyDescent="0.3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</row>
    <row r="930" spans="1:26" ht="14.5" x14ac:dyDescent="0.3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</row>
    <row r="931" spans="1:26" ht="14.5" x14ac:dyDescent="0.3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</row>
    <row r="932" spans="1:26" ht="14.5" x14ac:dyDescent="0.3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</row>
    <row r="933" spans="1:26" ht="14.5" x14ac:dyDescent="0.35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</row>
    <row r="934" spans="1:26" ht="14.5" x14ac:dyDescent="0.35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</row>
    <row r="935" spans="1:26" ht="14.5" x14ac:dyDescent="0.35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</row>
    <row r="936" spans="1:26" ht="14.5" x14ac:dyDescent="0.35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</row>
    <row r="937" spans="1:26" ht="14.5" x14ac:dyDescent="0.35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</row>
    <row r="938" spans="1:26" ht="14.5" x14ac:dyDescent="0.35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</row>
    <row r="939" spans="1:26" ht="14.5" x14ac:dyDescent="0.35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</row>
    <row r="940" spans="1:26" ht="14.5" x14ac:dyDescent="0.35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</row>
    <row r="941" spans="1:26" ht="14.5" x14ac:dyDescent="0.35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</row>
    <row r="942" spans="1:26" ht="14.5" x14ac:dyDescent="0.35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</row>
    <row r="943" spans="1:26" ht="14.5" x14ac:dyDescent="0.35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</row>
    <row r="944" spans="1:26" ht="14.5" x14ac:dyDescent="0.35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</row>
    <row r="945" spans="1:26" ht="14.5" x14ac:dyDescent="0.35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</row>
    <row r="946" spans="1:26" ht="14.5" x14ac:dyDescent="0.35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</row>
    <row r="947" spans="1:26" ht="14.5" x14ac:dyDescent="0.35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</row>
    <row r="948" spans="1:26" ht="14.5" x14ac:dyDescent="0.35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</row>
    <row r="949" spans="1:26" ht="14.5" x14ac:dyDescent="0.35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</row>
    <row r="950" spans="1:26" ht="14.5" x14ac:dyDescent="0.35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</row>
    <row r="951" spans="1:26" ht="14.5" x14ac:dyDescent="0.35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</row>
    <row r="952" spans="1:26" ht="14.5" x14ac:dyDescent="0.35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</row>
    <row r="953" spans="1:26" ht="14.5" x14ac:dyDescent="0.35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</row>
    <row r="954" spans="1:26" ht="14.5" x14ac:dyDescent="0.35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</row>
    <row r="955" spans="1:26" ht="14.5" x14ac:dyDescent="0.35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</row>
    <row r="956" spans="1:26" ht="14.5" x14ac:dyDescent="0.35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</row>
    <row r="957" spans="1:26" ht="14.5" x14ac:dyDescent="0.35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</row>
    <row r="958" spans="1:26" ht="14.5" x14ac:dyDescent="0.35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</row>
    <row r="959" spans="1:26" ht="14.5" x14ac:dyDescent="0.35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</row>
    <row r="960" spans="1:26" ht="14.5" x14ac:dyDescent="0.35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</row>
    <row r="961" spans="1:26" ht="14.5" x14ac:dyDescent="0.35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</row>
    <row r="962" spans="1:26" ht="14.5" x14ac:dyDescent="0.35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</row>
    <row r="963" spans="1:26" ht="14.5" x14ac:dyDescent="0.35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</row>
    <row r="964" spans="1:26" ht="14.5" x14ac:dyDescent="0.35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</row>
    <row r="965" spans="1:26" ht="14.5" x14ac:dyDescent="0.35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</row>
    <row r="966" spans="1:26" ht="14.5" x14ac:dyDescent="0.35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</row>
    <row r="967" spans="1:26" ht="14.5" x14ac:dyDescent="0.35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</row>
    <row r="968" spans="1:26" ht="14.5" x14ac:dyDescent="0.35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</row>
    <row r="969" spans="1:26" ht="14.5" x14ac:dyDescent="0.35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</row>
    <row r="970" spans="1:26" ht="14.5" x14ac:dyDescent="0.35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</row>
    <row r="971" spans="1:26" ht="14.5" x14ac:dyDescent="0.35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</row>
    <row r="972" spans="1:26" ht="14.5" x14ac:dyDescent="0.35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</row>
    <row r="973" spans="1:26" ht="14.5" x14ac:dyDescent="0.35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</row>
    <row r="974" spans="1:26" ht="14.5" x14ac:dyDescent="0.35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</row>
    <row r="975" spans="1:26" ht="14.5" x14ac:dyDescent="0.35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</row>
    <row r="976" spans="1:26" ht="14.5" x14ac:dyDescent="0.35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</row>
    <row r="977" spans="1:26" ht="14.5" x14ac:dyDescent="0.35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</row>
    <row r="978" spans="1:26" ht="14.5" x14ac:dyDescent="0.35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</row>
    <row r="979" spans="1:26" ht="14.5" x14ac:dyDescent="0.35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</row>
    <row r="980" spans="1:26" ht="14.5" x14ac:dyDescent="0.35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</row>
    <row r="981" spans="1:26" ht="14.5" x14ac:dyDescent="0.35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</row>
    <row r="982" spans="1:26" ht="14.5" x14ac:dyDescent="0.35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</row>
    <row r="983" spans="1:26" ht="14.5" x14ac:dyDescent="0.35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</row>
    <row r="984" spans="1:26" ht="14.5" x14ac:dyDescent="0.35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</row>
    <row r="985" spans="1:26" ht="14.5" x14ac:dyDescent="0.35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</row>
    <row r="986" spans="1:26" ht="14.5" x14ac:dyDescent="0.35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</row>
    <row r="987" spans="1:26" ht="14.5" x14ac:dyDescent="0.35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</row>
    <row r="988" spans="1:26" ht="14.5" x14ac:dyDescent="0.35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</row>
    <row r="989" spans="1:26" ht="14.5" x14ac:dyDescent="0.35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</row>
    <row r="990" spans="1:26" ht="14.5" x14ac:dyDescent="0.35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</row>
    <row r="991" spans="1:26" ht="14.5" x14ac:dyDescent="0.35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</row>
    <row r="992" spans="1:26" ht="14.5" x14ac:dyDescent="0.35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</row>
    <row r="993" spans="1:26" ht="14.5" x14ac:dyDescent="0.35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</row>
    <row r="994" spans="1:26" ht="14.5" x14ac:dyDescent="0.35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</row>
    <row r="995" spans="1:26" ht="14.5" x14ac:dyDescent="0.35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</row>
    <row r="996" spans="1:26" ht="14.5" x14ac:dyDescent="0.35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</row>
    <row r="997" spans="1:26" ht="14.5" x14ac:dyDescent="0.35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</row>
    <row r="998" spans="1:26" ht="14.5" x14ac:dyDescent="0.35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</row>
    <row r="999" spans="1:26" ht="14.5" x14ac:dyDescent="0.35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</row>
    <row r="1000" spans="1:26" ht="14.5" x14ac:dyDescent="0.35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</row>
    <row r="1001" spans="1:26" ht="14.5" x14ac:dyDescent="0.35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</row>
    <row r="1002" spans="1:26" ht="14.5" x14ac:dyDescent="0.35">
      <c r="A1002" s="217"/>
      <c r="B1002" s="217"/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</row>
    <row r="1003" spans="1:26" ht="14.5" x14ac:dyDescent="0.35">
      <c r="A1003" s="217"/>
      <c r="B1003" s="217"/>
      <c r="C1003" s="217"/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</row>
    <row r="1004" spans="1:26" ht="14.5" x14ac:dyDescent="0.35">
      <c r="A1004" s="217"/>
      <c r="B1004" s="217"/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</row>
    <row r="1005" spans="1:26" ht="14.5" x14ac:dyDescent="0.35">
      <c r="A1005" s="217"/>
      <c r="B1005" s="217"/>
      <c r="C1005" s="217"/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</row>
    <row r="1006" spans="1:26" ht="14.5" x14ac:dyDescent="0.35">
      <c r="A1006" s="217"/>
      <c r="B1006" s="217"/>
      <c r="C1006" s="217"/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</row>
    <row r="1007" spans="1:26" ht="14.5" x14ac:dyDescent="0.35">
      <c r="A1007" s="217"/>
      <c r="B1007" s="217"/>
      <c r="C1007" s="217"/>
      <c r="D1007" s="217"/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</row>
  </sheetData>
  <customSheetViews>
    <customSheetView guid="{106B7A88-9D1E-4D22-9DE1-7E44A908E830}" scale="90" showGridLines="0" fitToPage="1">
      <pane xSplit="1" ySplit="3" topLeftCell="B28" activePane="bottomRight" state="frozen"/>
      <selection pane="bottomRight" activeCell="H54" sqref="H54"/>
      <pageMargins left="0.7" right="0.7" top="0.75" bottom="0.75" header="0.3" footer="0.3"/>
      <pageSetup paperSize="9" scale="31" fitToHeight="0" orientation="landscape" r:id="rId1"/>
    </customSheetView>
    <customSheetView guid="{CF50DB9B-0F8D-41A5-9576-F9345942CE97}" scale="110" showGridLines="0" fitToPage="1">
      <pane xSplit="1" ySplit="3" topLeftCell="B19" activePane="bottomRight" state="frozen"/>
      <selection pane="bottomRight" activeCell="B49" sqref="B49"/>
      <pageMargins left="0.7" right="0.7" top="0.75" bottom="0.75" header="0.3" footer="0.3"/>
      <pageSetup paperSize="9" scale="10" orientation="landscape" r:id="rId2"/>
    </customSheetView>
    <customSheetView guid="{B8CD8764-8103-4BA7-A294-F5FED5EA74ED}" scale="80" showGridLines="0" fitToPage="1">
      <pane xSplit="1" ySplit="3" topLeftCell="B33" activePane="bottomRight" state="frozen"/>
      <selection pane="bottomRight" activeCell="I29" sqref="I29:I39"/>
      <pageMargins left="0.7" right="0.7" top="0.75" bottom="0.75" header="0.3" footer="0.3"/>
      <pageSetup paperSize="9" scale="10" orientation="landscape" r:id="rId3"/>
    </customSheetView>
    <customSheetView guid="{845F3A43-EF96-4057-9777-D2F2301CC149}" scale="90" showPageBreaks="1" showGridLines="0" fitToPage="1">
      <pane xSplit="1" ySplit="3" topLeftCell="B28" activePane="bottomRight" state="frozen"/>
      <selection pane="bottomRight" activeCell="H54" sqref="H54"/>
      <pageMargins left="0.7" right="0.7" top="0.75" bottom="0.75" header="0.3" footer="0.3"/>
      <pageSetup paperSize="9" scale="31" fitToHeight="0" orientation="landscape" r:id="rId4"/>
    </customSheetView>
  </customSheetViews>
  <mergeCells count="2">
    <mergeCell ref="I7:I11"/>
    <mergeCell ref="I30:I42"/>
  </mergeCells>
  <pageMargins left="0.7" right="0.7" top="0.75" bottom="0.75" header="0.3" footer="0.3"/>
  <pageSetup paperSize="9" scale="31" fitToHeight="0" orientation="landscape" r:id="rId5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1001"/>
  <sheetViews>
    <sheetView showGridLines="0" zoomScale="80" zoomScaleNormal="80" workbookViewId="0">
      <selection activeCell="F13" sqref="F13"/>
    </sheetView>
  </sheetViews>
  <sheetFormatPr baseColWidth="10" defaultColWidth="17.26953125" defaultRowHeight="15" customHeight="1" x14ac:dyDescent="0.25"/>
  <cols>
    <col min="1" max="1" width="32.453125" customWidth="1"/>
    <col min="2" max="3" width="15" customWidth="1"/>
    <col min="4" max="4" width="15.26953125" customWidth="1"/>
    <col min="5" max="5" width="18" bestFit="1" customWidth="1"/>
    <col min="6" max="6" width="15" customWidth="1"/>
    <col min="7" max="7" width="15.7265625" customWidth="1"/>
    <col min="8" max="8" width="59.54296875" customWidth="1"/>
    <col min="9" max="11" width="11.54296875" customWidth="1"/>
    <col min="12" max="12" width="67.26953125" customWidth="1"/>
    <col min="13" max="13" width="11.54296875" customWidth="1"/>
    <col min="14" max="14" width="11.54296875" hidden="1" customWidth="1"/>
    <col min="15" max="23" width="11.54296875" customWidth="1"/>
    <col min="24" max="25" width="10" customWidth="1"/>
  </cols>
  <sheetData>
    <row r="1" spans="1:25" ht="32.25" customHeight="1" x14ac:dyDescent="0.35">
      <c r="A1" s="1" t="s">
        <v>275</v>
      </c>
      <c r="B1" s="4"/>
      <c r="C1" s="4"/>
      <c r="D1" s="4"/>
      <c r="E1" s="4"/>
      <c r="F1" s="69"/>
      <c r="G1" s="66"/>
      <c r="H1" s="350" t="s">
        <v>720</v>
      </c>
      <c r="I1" s="591" t="s">
        <v>276</v>
      </c>
      <c r="J1" s="89" t="s">
        <v>280</v>
      </c>
      <c r="K1" s="32"/>
      <c r="L1" s="590" t="s">
        <v>594</v>
      </c>
      <c r="M1" s="591" t="s">
        <v>276</v>
      </c>
      <c r="N1" s="32"/>
      <c r="O1" s="89"/>
      <c r="P1" s="217"/>
      <c r="Q1" s="2"/>
      <c r="R1" s="2"/>
      <c r="S1" s="2"/>
      <c r="T1" s="2"/>
      <c r="U1" s="2"/>
      <c r="V1" s="2"/>
      <c r="W1" s="2"/>
      <c r="X1" s="2"/>
      <c r="Y1" s="2"/>
    </row>
    <row r="2" spans="1:25" ht="15" customHeight="1" x14ac:dyDescent="0.35">
      <c r="A2" s="87" t="s">
        <v>277</v>
      </c>
      <c r="B2" s="87" t="s">
        <v>155</v>
      </c>
      <c r="C2" s="87" t="s">
        <v>156</v>
      </c>
      <c r="D2" s="87" t="s">
        <v>157</v>
      </c>
      <c r="E2" s="87" t="s">
        <v>278</v>
      </c>
      <c r="F2" s="88" t="s">
        <v>279</v>
      </c>
      <c r="G2" s="217"/>
      <c r="H2" s="423"/>
      <c r="J2" s="98"/>
      <c r="K2" s="32"/>
      <c r="L2" s="423"/>
      <c r="M2" s="591"/>
      <c r="N2" s="32"/>
      <c r="O2" s="89" t="s">
        <v>280</v>
      </c>
      <c r="P2" s="217"/>
      <c r="Q2" s="2"/>
      <c r="R2" s="2"/>
      <c r="S2" s="2"/>
      <c r="T2" s="2"/>
      <c r="U2" s="2"/>
      <c r="V2" s="2"/>
      <c r="W2" s="2"/>
      <c r="X2" s="2"/>
      <c r="Y2" s="2"/>
    </row>
    <row r="3" spans="1:25" ht="14.5" x14ac:dyDescent="0.35">
      <c r="A3" s="75" t="s">
        <v>138</v>
      </c>
      <c r="B3" s="92">
        <f>'Oversikt Variabler'!B25</f>
        <v>724.5</v>
      </c>
      <c r="C3" s="92">
        <f>'Oversikt Variabler'!B25</f>
        <v>724.5</v>
      </c>
      <c r="D3" s="92">
        <f>'Oversikt Variabler'!B25</f>
        <v>724.5</v>
      </c>
      <c r="E3" s="92">
        <f>'Oversikt Variabler'!B25</f>
        <v>724.5</v>
      </c>
      <c r="F3" s="92">
        <f>'Oversikt Variabler'!B25</f>
        <v>724.5</v>
      </c>
      <c r="G3" s="217"/>
      <c r="H3" s="96" t="s">
        <v>189</v>
      </c>
      <c r="I3" s="98"/>
      <c r="J3" s="99"/>
      <c r="K3" s="217"/>
      <c r="L3" s="96" t="s">
        <v>189</v>
      </c>
      <c r="M3" s="99"/>
      <c r="N3" s="32"/>
      <c r="O3" s="98"/>
      <c r="P3" s="217"/>
      <c r="Q3" s="2"/>
      <c r="R3" s="2"/>
      <c r="S3" s="2"/>
      <c r="T3" s="2"/>
      <c r="U3" s="2"/>
      <c r="V3" s="2"/>
      <c r="W3" s="2"/>
      <c r="X3" s="2"/>
      <c r="Y3" s="2"/>
    </row>
    <row r="4" spans="1:25" ht="14.5" x14ac:dyDescent="0.35">
      <c r="A4" s="75" t="s">
        <v>281</v>
      </c>
      <c r="B4" s="92">
        <f>'Oversikt Variabler'!$B$26</f>
        <v>50</v>
      </c>
      <c r="C4" s="92">
        <f>'Oversikt Variabler'!$B$26</f>
        <v>50</v>
      </c>
      <c r="D4" s="92">
        <f>'Oversikt Variabler'!$B$26</f>
        <v>50</v>
      </c>
      <c r="E4" s="92">
        <f>'Oversikt Variabler'!$B$26</f>
        <v>50</v>
      </c>
      <c r="F4" s="92">
        <f>'Oversikt Variabler'!$B$26</f>
        <v>50</v>
      </c>
      <c r="G4" s="217"/>
      <c r="H4" s="32" t="s">
        <v>282</v>
      </c>
      <c r="I4" s="101">
        <f>B13</f>
        <v>6200</v>
      </c>
      <c r="J4" s="104">
        <f>I4*4</f>
        <v>24800</v>
      </c>
      <c r="K4" s="66"/>
      <c r="L4" s="32" t="s">
        <v>282</v>
      </c>
      <c r="M4" s="104">
        <v>6000</v>
      </c>
      <c r="N4" s="293">
        <f>(M4-J4)/J4</f>
        <v>-0.75806451612903225</v>
      </c>
      <c r="O4" s="101">
        <v>24000</v>
      </c>
      <c r="P4" s="217"/>
      <c r="Q4" s="2"/>
      <c r="R4" s="2"/>
      <c r="S4" s="2"/>
      <c r="T4" s="2"/>
      <c r="U4" s="2"/>
      <c r="V4" s="2"/>
      <c r="W4" s="2"/>
      <c r="X4" s="2"/>
      <c r="Y4" s="2"/>
    </row>
    <row r="5" spans="1:25" ht="14.5" x14ac:dyDescent="0.35">
      <c r="A5" s="75" t="s">
        <v>283</v>
      </c>
      <c r="B5" s="92">
        <f>'Oversikt Variabler'!B27</f>
        <v>600</v>
      </c>
      <c r="C5" s="92">
        <f>'Oversikt Variabler'!B27</f>
        <v>600</v>
      </c>
      <c r="D5" s="92">
        <f>'Oversikt Variabler'!B27</f>
        <v>600</v>
      </c>
      <c r="E5" s="92">
        <f>'Oversikt Variabler'!B27</f>
        <v>600</v>
      </c>
      <c r="F5" s="92">
        <f>'Oversikt Variabler'!B27-120</f>
        <v>480</v>
      </c>
      <c r="G5" s="217"/>
      <c r="H5" s="32" t="s">
        <v>284</v>
      </c>
      <c r="I5" s="101">
        <f>C13</f>
        <v>6000</v>
      </c>
      <c r="J5" s="104">
        <f t="shared" ref="J5:J7" si="0">I5*4</f>
        <v>24000</v>
      </c>
      <c r="K5" s="66"/>
      <c r="L5" s="32" t="s">
        <v>284</v>
      </c>
      <c r="M5" s="104">
        <v>5800</v>
      </c>
      <c r="N5" s="293">
        <f>(M5-J5)/J5</f>
        <v>-0.7583333333333333</v>
      </c>
      <c r="O5" s="101">
        <v>23200</v>
      </c>
      <c r="P5" s="217"/>
      <c r="Q5" s="2"/>
      <c r="R5" s="2"/>
      <c r="S5" s="2"/>
      <c r="T5" s="2"/>
      <c r="U5" s="2"/>
      <c r="V5" s="2"/>
      <c r="W5" s="2"/>
      <c r="X5" s="2"/>
      <c r="Y5" s="2"/>
    </row>
    <row r="6" spans="1:25" ht="14.5" x14ac:dyDescent="0.35">
      <c r="A6" s="75" t="s">
        <v>285</v>
      </c>
      <c r="B6" s="92">
        <f>'Oversikt Variabler'!B28</f>
        <v>700</v>
      </c>
      <c r="C6" s="92">
        <f>'Oversikt Variabler'!B28</f>
        <v>700</v>
      </c>
      <c r="D6" s="92">
        <f>'Oversikt Variabler'!B28</f>
        <v>700</v>
      </c>
      <c r="E6" s="92">
        <f>'Oversikt Variabler'!B28</f>
        <v>700</v>
      </c>
      <c r="F6" s="92" t="s">
        <v>286</v>
      </c>
      <c r="G6" s="217"/>
      <c r="H6" s="32" t="s">
        <v>287</v>
      </c>
      <c r="I6" s="101">
        <f>D13</f>
        <v>5700</v>
      </c>
      <c r="J6" s="104">
        <f t="shared" si="0"/>
        <v>22800</v>
      </c>
      <c r="K6" s="66"/>
      <c r="L6" s="32" t="s">
        <v>287</v>
      </c>
      <c r="M6" s="104">
        <v>5500</v>
      </c>
      <c r="N6" s="293">
        <f>(M6-J6)/J6</f>
        <v>-0.75877192982456143</v>
      </c>
      <c r="O6" s="101">
        <v>22000</v>
      </c>
      <c r="P6" s="217"/>
      <c r="Q6" s="2"/>
      <c r="R6" s="2"/>
      <c r="S6" s="2"/>
      <c r="T6" s="2"/>
      <c r="U6" s="2"/>
      <c r="V6" s="2"/>
      <c r="W6" s="2"/>
      <c r="X6" s="2"/>
      <c r="Y6" s="2"/>
    </row>
    <row r="7" spans="1:25" ht="14.5" x14ac:dyDescent="0.35">
      <c r="A7" s="75" t="s">
        <v>288</v>
      </c>
      <c r="B7" s="92" t="s">
        <v>286</v>
      </c>
      <c r="C7" s="92" t="s">
        <v>286</v>
      </c>
      <c r="D7" s="92" t="s">
        <v>286</v>
      </c>
      <c r="E7" s="92" t="s">
        <v>286</v>
      </c>
      <c r="F7" s="92">
        <f>'Oversikt Variabler'!B29</f>
        <v>1300</v>
      </c>
      <c r="G7" s="217"/>
      <c r="H7" s="32" t="s">
        <v>289</v>
      </c>
      <c r="I7" s="101">
        <f>E13</f>
        <v>5700</v>
      </c>
      <c r="J7" s="104">
        <f t="shared" si="0"/>
        <v>22800</v>
      </c>
      <c r="K7" s="66"/>
      <c r="L7" s="32" t="s">
        <v>289</v>
      </c>
      <c r="M7" s="104">
        <v>5500</v>
      </c>
      <c r="N7" s="293">
        <f>(M7-J7)/J7</f>
        <v>-0.75877192982456143</v>
      </c>
      <c r="O7" s="101">
        <v>22000</v>
      </c>
      <c r="P7" s="217"/>
      <c r="Q7" s="2"/>
      <c r="R7" s="2"/>
      <c r="S7" s="2"/>
      <c r="T7" s="2"/>
      <c r="U7" s="2"/>
      <c r="V7" s="2"/>
      <c r="W7" s="2"/>
      <c r="X7" s="2"/>
      <c r="Y7" s="2"/>
    </row>
    <row r="8" spans="1:25" ht="14.5" x14ac:dyDescent="0.35">
      <c r="A8" s="75" t="s">
        <v>6</v>
      </c>
      <c r="B8" s="92">
        <f>'Oversikt Variabler'!$B$7*'Oversikt Variabler'!$B$3</f>
        <v>4597.4699999999993</v>
      </c>
      <c r="C8" s="92">
        <f>'Oversikt Variabler'!$B$7*'Oversikt Variabler'!$B$3</f>
        <v>4597.4699999999993</v>
      </c>
      <c r="D8" s="92">
        <f>'Oversikt Variabler'!$B$7*'Oversikt Variabler'!$B$3</f>
        <v>4597.4699999999993</v>
      </c>
      <c r="E8" s="92">
        <f>'Oversikt Variabler'!$B$7*'Oversikt Variabler'!$B$3</f>
        <v>4597.4699999999993</v>
      </c>
      <c r="F8" s="92">
        <f>'Oversikt Variabler'!$B$7*'Oversikt Variabler'!$B$3</f>
        <v>4597.4699999999993</v>
      </c>
      <c r="G8" s="217"/>
      <c r="H8" s="32" t="s">
        <v>290</v>
      </c>
      <c r="I8" s="101">
        <f>F13</f>
        <v>6200</v>
      </c>
      <c r="J8" s="104"/>
      <c r="K8" s="217"/>
      <c r="L8" s="46" t="s">
        <v>290</v>
      </c>
      <c r="M8" s="109">
        <v>6200</v>
      </c>
      <c r="N8" s="293" t="e">
        <f>(M8-J8)/J8</f>
        <v>#DIV/0!</v>
      </c>
      <c r="O8" s="108"/>
      <c r="P8" s="217"/>
      <c r="Q8" s="2"/>
      <c r="R8" s="2"/>
      <c r="S8" s="2"/>
      <c r="T8" s="2"/>
      <c r="U8" s="2"/>
      <c r="V8" s="2"/>
      <c r="W8" s="2"/>
      <c r="X8" s="2"/>
      <c r="Y8" s="2"/>
    </row>
    <row r="9" spans="1:25" ht="14.5" x14ac:dyDescent="0.35">
      <c r="A9" s="75" t="s">
        <v>291</v>
      </c>
      <c r="B9" s="92">
        <f>'Oversikt Variabler'!$B$3*'Oversikt Variabler'!$B$22</f>
        <v>57.5</v>
      </c>
      <c r="C9" s="92">
        <f>'Oversikt Variabler'!$B$3*'Oversikt Variabler'!$B$22</f>
        <v>57.5</v>
      </c>
      <c r="D9" s="92">
        <f>'Oversikt Variabler'!$B$3*'Oversikt Variabler'!$B$22</f>
        <v>57.5</v>
      </c>
      <c r="E9" s="92">
        <f>'Oversikt Variabler'!$B$3*'Oversikt Variabler'!$B$22</f>
        <v>57.5</v>
      </c>
      <c r="F9" s="92"/>
      <c r="G9" s="217"/>
      <c r="H9" s="657"/>
      <c r="I9" s="658"/>
      <c r="J9" s="659"/>
      <c r="K9" s="217"/>
      <c r="L9" s="217"/>
      <c r="M9" s="104"/>
      <c r="N9" s="293"/>
      <c r="O9" s="101"/>
      <c r="P9" s="217"/>
      <c r="Q9" s="2"/>
      <c r="R9" s="2"/>
      <c r="S9" s="2"/>
      <c r="T9" s="2"/>
      <c r="U9" s="2"/>
      <c r="V9" s="2"/>
      <c r="W9" s="2"/>
      <c r="X9" s="2"/>
      <c r="Y9" s="2"/>
    </row>
    <row r="10" spans="1:25" ht="14.5" x14ac:dyDescent="0.35">
      <c r="A10" s="75" t="s">
        <v>292</v>
      </c>
      <c r="B10" s="92">
        <v>0</v>
      </c>
      <c r="C10" s="92">
        <v>0</v>
      </c>
      <c r="D10" s="92">
        <v>0</v>
      </c>
      <c r="E10" s="92">
        <v>0</v>
      </c>
      <c r="F10" s="92">
        <v>0</v>
      </c>
      <c r="G10" s="217"/>
      <c r="H10" s="391"/>
      <c r="I10" s="660"/>
      <c r="J10" s="514"/>
      <c r="K10" s="217"/>
      <c r="L10" s="217"/>
      <c r="M10" s="104"/>
      <c r="N10" s="293"/>
      <c r="O10" s="101"/>
      <c r="P10" s="217"/>
      <c r="Q10" s="2"/>
      <c r="R10" s="2"/>
      <c r="S10" s="2"/>
      <c r="T10" s="2"/>
      <c r="U10" s="2"/>
      <c r="V10" s="2"/>
      <c r="W10" s="2"/>
      <c r="X10" s="2"/>
      <c r="Y10" s="2"/>
    </row>
    <row r="11" spans="1:25" ht="14.5" x14ac:dyDescent="0.35">
      <c r="A11" s="188" t="s">
        <v>293</v>
      </c>
      <c r="B11" s="188">
        <f t="shared" ref="B11:F11" si="1">SUM(B3:B10)</f>
        <v>6729.4699999999993</v>
      </c>
      <c r="C11" s="188">
        <f t="shared" si="1"/>
        <v>6729.4699999999993</v>
      </c>
      <c r="D11" s="188">
        <f t="shared" si="1"/>
        <v>6729.4699999999993</v>
      </c>
      <c r="E11" s="188">
        <f t="shared" si="1"/>
        <v>6729.4699999999993</v>
      </c>
      <c r="F11" s="188">
        <f t="shared" si="1"/>
        <v>7151.9699999999993</v>
      </c>
      <c r="G11" s="2"/>
      <c r="H11" s="4"/>
      <c r="I11" s="111"/>
      <c r="J11" s="111"/>
      <c r="K11" s="217"/>
      <c r="L11" s="4"/>
      <c r="M11" s="112"/>
      <c r="N11" s="293"/>
      <c r="O11" s="111"/>
      <c r="P11" s="217"/>
      <c r="Q11" s="2"/>
      <c r="R11" s="2"/>
      <c r="S11" s="2"/>
      <c r="T11" s="2"/>
      <c r="U11" s="2"/>
      <c r="V11" s="2"/>
      <c r="W11" s="2"/>
      <c r="X11" s="2"/>
      <c r="Y11" s="2"/>
    </row>
    <row r="12" spans="1:25" ht="14.5" x14ac:dyDescent="0.35">
      <c r="A12" s="75" t="s">
        <v>520</v>
      </c>
      <c r="B12" s="92">
        <v>-529</v>
      </c>
      <c r="C12" s="92">
        <v>-729</v>
      </c>
      <c r="D12" s="92">
        <f>-1029</f>
        <v>-1029</v>
      </c>
      <c r="E12" s="92">
        <f>-1029</f>
        <v>-1029</v>
      </c>
      <c r="F12" s="92">
        <v>-951</v>
      </c>
      <c r="G12" s="217"/>
      <c r="H12" s="96" t="s">
        <v>183</v>
      </c>
      <c r="I12" s="98"/>
      <c r="J12" s="99"/>
      <c r="K12" s="32"/>
      <c r="L12" s="96" t="s">
        <v>183</v>
      </c>
      <c r="M12" s="99"/>
      <c r="N12" s="293"/>
      <c r="O12" s="98"/>
      <c r="P12" s="217"/>
      <c r="Q12" s="2"/>
      <c r="R12" s="2"/>
      <c r="S12" s="2"/>
      <c r="T12" s="2"/>
      <c r="U12" s="2"/>
      <c r="V12" s="2"/>
      <c r="W12" s="2"/>
      <c r="X12" s="2"/>
      <c r="Y12" s="2"/>
    </row>
    <row r="13" spans="1:25" ht="14.5" x14ac:dyDescent="0.35">
      <c r="A13" s="188" t="s">
        <v>294</v>
      </c>
      <c r="B13" s="188">
        <f>_xlfn.FLOOR.MATH(B11+B12,,TRUE)</f>
        <v>6200</v>
      </c>
      <c r="C13" s="188">
        <f>_xlfn.FLOOR.MATH(C11+C12,,TRUE)</f>
        <v>6000</v>
      </c>
      <c r="D13" s="188">
        <f>_xlfn.FLOOR.MATH(D11+D12,,TRUE)</f>
        <v>5700</v>
      </c>
      <c r="E13" s="188">
        <f>_xlfn.FLOOR.MATH(E11+E12,,TRUE)</f>
        <v>5700</v>
      </c>
      <c r="F13" s="188">
        <f>_xlfn.FLOOR.MATH(F11+F12,,TRUE)</f>
        <v>6200</v>
      </c>
      <c r="G13" s="2" t="s">
        <v>32</v>
      </c>
      <c r="H13" s="32" t="s">
        <v>282</v>
      </c>
      <c r="I13" s="101">
        <f>B28</f>
        <v>7150</v>
      </c>
      <c r="J13" s="104">
        <f>I13*4</f>
        <v>28600</v>
      </c>
      <c r="K13" s="114"/>
      <c r="L13" s="32" t="s">
        <v>282</v>
      </c>
      <c r="M13" s="104">
        <v>7100</v>
      </c>
      <c r="N13" s="293">
        <f>(M13-J13)/J13</f>
        <v>-0.75174825174825177</v>
      </c>
      <c r="O13" s="101">
        <v>28400</v>
      </c>
      <c r="P13" s="217"/>
      <c r="Q13" s="2"/>
      <c r="R13" s="2"/>
      <c r="S13" s="2"/>
      <c r="T13" s="2"/>
      <c r="U13" s="2"/>
      <c r="V13" s="2"/>
      <c r="W13" s="2"/>
      <c r="X13" s="2"/>
      <c r="Y13" s="2"/>
    </row>
    <row r="14" spans="1:25" ht="14.5" x14ac:dyDescent="0.35">
      <c r="A14" s="217"/>
      <c r="B14" s="217"/>
      <c r="C14" s="217" t="s">
        <v>32</v>
      </c>
      <c r="D14" s="217"/>
      <c r="E14" s="217" t="s">
        <v>32</v>
      </c>
      <c r="F14" s="66"/>
      <c r="G14" s="217"/>
      <c r="H14" s="32" t="s">
        <v>284</v>
      </c>
      <c r="I14" s="101">
        <f>C28</f>
        <v>6900</v>
      </c>
      <c r="J14" s="104">
        <f t="shared" ref="J14:J16" si="2">I14*4</f>
        <v>27600</v>
      </c>
      <c r="K14" s="114"/>
      <c r="L14" s="32" t="s">
        <v>284</v>
      </c>
      <c r="M14" s="104">
        <v>6800</v>
      </c>
      <c r="N14" s="293">
        <f>(M14-J14)/J14</f>
        <v>-0.75362318840579712</v>
      </c>
      <c r="O14" s="101">
        <v>27200</v>
      </c>
      <c r="P14" s="217"/>
      <c r="Q14" s="2"/>
      <c r="R14" s="2"/>
      <c r="S14" s="2"/>
      <c r="T14" s="2"/>
      <c r="U14" s="2"/>
      <c r="V14" s="2"/>
      <c r="W14" s="2"/>
      <c r="X14" s="2"/>
      <c r="Y14" s="2"/>
    </row>
    <row r="15" spans="1:25" ht="14.5" x14ac:dyDescent="0.35">
      <c r="A15" s="1" t="s">
        <v>295</v>
      </c>
      <c r="B15" s="4"/>
      <c r="C15" s="4"/>
      <c r="D15" s="4"/>
      <c r="E15" s="4"/>
      <c r="F15" s="69"/>
      <c r="G15" s="66"/>
      <c r="H15" s="32" t="s">
        <v>287</v>
      </c>
      <c r="I15" s="101">
        <f>D28</f>
        <v>6600</v>
      </c>
      <c r="J15" s="104">
        <f t="shared" si="2"/>
        <v>26400</v>
      </c>
      <c r="K15" s="114"/>
      <c r="L15" s="32" t="s">
        <v>287</v>
      </c>
      <c r="M15" s="104">
        <v>6500</v>
      </c>
      <c r="N15" s="293">
        <f>(M15-J15)/J15</f>
        <v>-0.75378787878787878</v>
      </c>
      <c r="O15" s="101">
        <v>26000</v>
      </c>
      <c r="P15" s="217"/>
      <c r="Q15" s="2"/>
      <c r="R15" s="2"/>
      <c r="S15" s="2"/>
      <c r="T15" s="2"/>
      <c r="U15" s="2"/>
      <c r="V15" s="2"/>
      <c r="W15" s="2"/>
      <c r="X15" s="2"/>
      <c r="Y15" s="2"/>
    </row>
    <row r="16" spans="1:25" ht="14.5" x14ac:dyDescent="0.35">
      <c r="A16" s="193" t="s">
        <v>277</v>
      </c>
      <c r="B16" s="196" t="s">
        <v>155</v>
      </c>
      <c r="C16" s="196" t="s">
        <v>156</v>
      </c>
      <c r="D16" s="196" t="s">
        <v>157</v>
      </c>
      <c r="E16" s="196" t="s">
        <v>278</v>
      </c>
      <c r="F16" s="66"/>
      <c r="G16" s="217"/>
      <c r="H16" s="46" t="s">
        <v>289</v>
      </c>
      <c r="I16" s="108">
        <f>E28</f>
        <v>6600</v>
      </c>
      <c r="J16" s="104">
        <f t="shared" si="2"/>
        <v>26400</v>
      </c>
      <c r="K16" s="32"/>
      <c r="L16" s="46" t="s">
        <v>289</v>
      </c>
      <c r="M16" s="119">
        <v>6500</v>
      </c>
      <c r="N16" s="293">
        <f>(M16-J16)/J16</f>
        <v>-0.75378787878787878</v>
      </c>
      <c r="O16" s="108">
        <v>26000</v>
      </c>
      <c r="P16" s="217"/>
      <c r="Q16" s="2"/>
      <c r="R16" s="2"/>
      <c r="S16" s="2"/>
      <c r="T16" s="2"/>
      <c r="U16" s="2"/>
      <c r="V16" s="2"/>
      <c r="W16" s="2"/>
      <c r="X16" s="2"/>
      <c r="Y16" s="2"/>
    </row>
    <row r="17" spans="1:25" ht="14.5" x14ac:dyDescent="0.35">
      <c r="A17" s="194" t="s">
        <v>138</v>
      </c>
      <c r="B17" s="197">
        <f>'Oversikt Variabler'!B25</f>
        <v>724.5</v>
      </c>
      <c r="C17" s="197">
        <f>'Oversikt Variabler'!B25</f>
        <v>724.5</v>
      </c>
      <c r="D17" s="197">
        <f>'Oversikt Variabler'!B25</f>
        <v>724.5</v>
      </c>
      <c r="E17" s="197">
        <f>'Oversikt Variabler'!B25</f>
        <v>724.5</v>
      </c>
      <c r="F17" s="66"/>
      <c r="G17" s="217"/>
      <c r="H17" s="25"/>
      <c r="I17" s="110"/>
      <c r="J17" s="110"/>
      <c r="K17" s="217"/>
      <c r="L17" s="217"/>
      <c r="M17" s="99"/>
      <c r="N17" s="293"/>
      <c r="O17" s="98"/>
      <c r="P17" s="217"/>
      <c r="Q17" s="2"/>
      <c r="R17" s="2"/>
      <c r="S17" s="2"/>
      <c r="T17" s="2"/>
      <c r="U17" s="2"/>
      <c r="V17" s="2"/>
      <c r="W17" s="2"/>
      <c r="X17" s="2"/>
      <c r="Y17" s="2"/>
    </row>
    <row r="18" spans="1:25" ht="14.5" x14ac:dyDescent="0.35">
      <c r="A18" s="195" t="s">
        <v>281</v>
      </c>
      <c r="B18" s="92">
        <f>'Oversikt Variabler'!$B$26</f>
        <v>50</v>
      </c>
      <c r="C18" s="92">
        <f>'Oversikt Variabler'!$B$26</f>
        <v>50</v>
      </c>
      <c r="D18" s="92">
        <f>'Oversikt Variabler'!$B$26</f>
        <v>50</v>
      </c>
      <c r="E18" s="92">
        <f>'Oversikt Variabler'!$B$26</f>
        <v>50</v>
      </c>
      <c r="F18" s="66"/>
      <c r="G18" s="217"/>
      <c r="H18" s="96" t="s">
        <v>296</v>
      </c>
      <c r="I18" s="98"/>
      <c r="J18" s="98"/>
      <c r="K18" s="32"/>
      <c r="L18" s="509" t="s">
        <v>296</v>
      </c>
      <c r="M18" s="510"/>
      <c r="N18" s="454"/>
      <c r="O18" s="630"/>
      <c r="P18" s="217"/>
      <c r="Q18" s="2"/>
      <c r="R18" s="2"/>
      <c r="S18" s="2"/>
      <c r="T18" s="2"/>
      <c r="U18" s="2"/>
      <c r="V18" s="2"/>
      <c r="W18" s="2"/>
      <c r="X18" s="2"/>
      <c r="Y18" s="2"/>
    </row>
    <row r="19" spans="1:25" ht="14.5" x14ac:dyDescent="0.35">
      <c r="A19" s="195" t="s">
        <v>283</v>
      </c>
      <c r="B19" s="198">
        <f>'Oversikt Variabler'!B27</f>
        <v>600</v>
      </c>
      <c r="C19" s="198">
        <f>'Oversikt Variabler'!B27</f>
        <v>600</v>
      </c>
      <c r="D19" s="198">
        <f>'Oversikt Variabler'!B27</f>
        <v>600</v>
      </c>
      <c r="E19" s="198">
        <f>'Oversikt Variabler'!B27</f>
        <v>600</v>
      </c>
      <c r="F19" s="66"/>
      <c r="G19" s="217"/>
      <c r="H19" s="46" t="s">
        <v>297</v>
      </c>
      <c r="I19" s="108">
        <f>B42</f>
        <v>3900</v>
      </c>
      <c r="J19" s="107">
        <f>I19*8</f>
        <v>31200</v>
      </c>
      <c r="K19" s="32"/>
      <c r="L19" s="391" t="s">
        <v>297</v>
      </c>
      <c r="M19" s="514">
        <v>3700</v>
      </c>
      <c r="N19" s="454">
        <f>(M19-J19)/J19</f>
        <v>-0.88141025641025639</v>
      </c>
      <c r="O19" s="513">
        <v>37000</v>
      </c>
      <c r="P19" s="217"/>
      <c r="Q19" s="2"/>
      <c r="R19" s="2"/>
      <c r="S19" s="2"/>
      <c r="T19" s="2"/>
      <c r="U19" s="2"/>
      <c r="V19" s="2"/>
      <c r="W19" s="2"/>
      <c r="X19" s="2"/>
      <c r="Y19" s="2"/>
    </row>
    <row r="20" spans="1:25" ht="14.5" x14ac:dyDescent="0.35">
      <c r="A20" s="195" t="s">
        <v>285</v>
      </c>
      <c r="B20" s="198">
        <f>'Oversikt Variabler'!B30</f>
        <v>900</v>
      </c>
      <c r="C20" s="198">
        <f>'Oversikt Variabler'!B30</f>
        <v>900</v>
      </c>
      <c r="D20" s="198">
        <f>'Oversikt Variabler'!B30</f>
        <v>900</v>
      </c>
      <c r="E20" s="198">
        <f>'Oversikt Variabler'!B30</f>
        <v>900</v>
      </c>
      <c r="F20" s="66"/>
      <c r="G20" s="217"/>
      <c r="H20" s="38"/>
      <c r="I20" s="94"/>
      <c r="J20" s="94"/>
      <c r="K20" s="217"/>
      <c r="L20" s="217"/>
      <c r="M20" s="98"/>
      <c r="N20" s="293"/>
      <c r="O20" s="98"/>
      <c r="P20" s="217"/>
      <c r="Q20" s="2"/>
      <c r="R20" s="2"/>
      <c r="S20" s="2"/>
      <c r="T20" s="2"/>
      <c r="U20" s="2"/>
      <c r="V20" s="2"/>
      <c r="W20" s="2"/>
      <c r="X20" s="2"/>
      <c r="Y20" s="2"/>
    </row>
    <row r="21" spans="1:25" ht="14.5" x14ac:dyDescent="0.35">
      <c r="A21" s="195" t="s">
        <v>298</v>
      </c>
      <c r="B21" s="198">
        <f>'Oversikt Variabler'!B31</f>
        <v>1450</v>
      </c>
      <c r="C21" s="198">
        <f>'Oversikt Variabler'!B31</f>
        <v>1450</v>
      </c>
      <c r="D21" s="198">
        <f>'Oversikt Variabler'!B31</f>
        <v>1450</v>
      </c>
      <c r="E21" s="198">
        <f>'Oversikt Variabler'!B31</f>
        <v>1450</v>
      </c>
      <c r="F21" s="66"/>
      <c r="G21" s="217"/>
      <c r="H21" s="93" t="s">
        <v>185</v>
      </c>
      <c r="I21" s="94"/>
      <c r="J21" s="95"/>
      <c r="K21" s="217"/>
      <c r="L21" s="93" t="s">
        <v>185</v>
      </c>
      <c r="M21" s="95"/>
      <c r="N21" s="293"/>
      <c r="O21" s="94"/>
      <c r="P21" s="217"/>
      <c r="Q21" s="2"/>
      <c r="R21" s="2"/>
      <c r="S21" s="2"/>
      <c r="T21" s="2"/>
      <c r="U21" s="2"/>
      <c r="V21" s="2"/>
      <c r="W21" s="2"/>
      <c r="X21" s="2"/>
      <c r="Y21" s="2"/>
    </row>
    <row r="22" spans="1:25" ht="14.5" x14ac:dyDescent="0.35">
      <c r="A22" s="195" t="s">
        <v>6</v>
      </c>
      <c r="B22" s="198">
        <f>'Oversikt Variabler'!$B$8*'Oversikt Variabler'!$B$3</f>
        <v>3838.1824999999999</v>
      </c>
      <c r="C22" s="198">
        <f>'Oversikt Variabler'!$B$8*'Oversikt Variabler'!$B$3</f>
        <v>3838.1824999999999</v>
      </c>
      <c r="D22" s="198">
        <f>'Oversikt Variabler'!$B$8*'Oversikt Variabler'!$B$3</f>
        <v>3838.1824999999999</v>
      </c>
      <c r="E22" s="198">
        <f>'Oversikt Variabler'!$B$8*'Oversikt Variabler'!$B$3</f>
        <v>3838.1824999999999</v>
      </c>
      <c r="F22" s="66"/>
      <c r="G22" s="217"/>
      <c r="H22" s="32" t="s">
        <v>299</v>
      </c>
      <c r="I22" s="101">
        <f>B55</f>
        <v>2850</v>
      </c>
      <c r="J22" s="102">
        <f>I22*6</f>
        <v>17100</v>
      </c>
      <c r="K22" s="217"/>
      <c r="L22" s="32" t="s">
        <v>299</v>
      </c>
      <c r="M22" s="102">
        <v>2800</v>
      </c>
      <c r="N22" s="293">
        <f t="shared" ref="N22:N27" si="3">(M22-J22)/J22</f>
        <v>-0.83625730994152048</v>
      </c>
      <c r="O22" s="101">
        <v>16800</v>
      </c>
      <c r="P22" s="217"/>
      <c r="Q22" s="2"/>
      <c r="R22" s="2"/>
      <c r="S22" s="2"/>
      <c r="T22" s="2"/>
      <c r="U22" s="2"/>
      <c r="V22" s="2"/>
      <c r="W22" s="2"/>
      <c r="X22" s="2"/>
      <c r="Y22" s="2"/>
    </row>
    <row r="23" spans="1:25" ht="14.5" x14ac:dyDescent="0.35">
      <c r="A23" s="195" t="s">
        <v>291</v>
      </c>
      <c r="B23" s="198">
        <f>'Oversikt Variabler'!$B$3*'Oversikt Variabler'!$B$22</f>
        <v>57.5</v>
      </c>
      <c r="C23" s="198">
        <f>'Oversikt Variabler'!$B$3*'Oversikt Variabler'!$B$22</f>
        <v>57.5</v>
      </c>
      <c r="D23" s="198">
        <f>'Oversikt Variabler'!$B$3*'Oversikt Variabler'!$B$22</f>
        <v>57.5</v>
      </c>
      <c r="E23" s="198">
        <f>'Oversikt Variabler'!$B$3*'Oversikt Variabler'!$B$22</f>
        <v>57.5</v>
      </c>
      <c r="F23" s="66"/>
      <c r="G23" s="217"/>
      <c r="H23" s="32" t="s">
        <v>300</v>
      </c>
      <c r="I23" s="101">
        <f>C55</f>
        <v>3650</v>
      </c>
      <c r="J23" s="102">
        <f t="shared" ref="J23:J25" si="4">I23*6</f>
        <v>21900</v>
      </c>
      <c r="K23" s="217"/>
      <c r="L23" s="32" t="s">
        <v>300</v>
      </c>
      <c r="M23" s="102">
        <v>3800</v>
      </c>
      <c r="N23" s="293">
        <f t="shared" si="3"/>
        <v>-0.82648401826484019</v>
      </c>
      <c r="O23" s="101">
        <v>22800</v>
      </c>
      <c r="P23" s="217"/>
      <c r="Q23" s="2"/>
      <c r="R23" s="2"/>
      <c r="S23" s="2"/>
      <c r="T23" s="2"/>
      <c r="U23" s="2"/>
      <c r="V23" s="2"/>
      <c r="W23" s="2"/>
      <c r="X23" s="2"/>
      <c r="Y23" s="2"/>
    </row>
    <row r="24" spans="1:25" ht="14.5" x14ac:dyDescent="0.35">
      <c r="A24" s="195" t="s">
        <v>292</v>
      </c>
      <c r="B24" s="198">
        <v>0</v>
      </c>
      <c r="C24" s="198">
        <v>0</v>
      </c>
      <c r="D24" s="198">
        <v>0</v>
      </c>
      <c r="E24" s="198">
        <v>0</v>
      </c>
      <c r="F24" s="66"/>
      <c r="G24" s="217"/>
      <c r="H24" s="32" t="s">
        <v>301</v>
      </c>
      <c r="I24" s="101">
        <f>D55</f>
        <v>3850</v>
      </c>
      <c r="J24" s="102">
        <f t="shared" si="4"/>
        <v>23100</v>
      </c>
      <c r="K24" s="217"/>
      <c r="L24" s="32" t="s">
        <v>301</v>
      </c>
      <c r="M24" s="102">
        <v>3600</v>
      </c>
      <c r="N24" s="293">
        <f t="shared" si="3"/>
        <v>-0.8441558441558441</v>
      </c>
      <c r="O24" s="101">
        <v>21600</v>
      </c>
      <c r="P24" s="217"/>
      <c r="Q24" s="2"/>
      <c r="R24" s="2"/>
      <c r="S24" s="2"/>
      <c r="T24" s="2"/>
      <c r="U24" s="2"/>
      <c r="V24" s="2"/>
      <c r="W24" s="2"/>
      <c r="X24" s="2"/>
      <c r="Y24" s="2"/>
    </row>
    <row r="25" spans="1:25" ht="14.5" x14ac:dyDescent="0.35">
      <c r="A25" s="186" t="s">
        <v>293</v>
      </c>
      <c r="B25" s="186">
        <f t="shared" ref="B25:E25" si="5">SUM(B17:B24)</f>
        <v>7620.1824999999999</v>
      </c>
      <c r="C25" s="186">
        <f t="shared" si="5"/>
        <v>7620.1824999999999</v>
      </c>
      <c r="D25" s="186">
        <f t="shared" si="5"/>
        <v>7620.1824999999999</v>
      </c>
      <c r="E25" s="186">
        <f t="shared" si="5"/>
        <v>7620.1824999999999</v>
      </c>
      <c r="F25" s="123"/>
      <c r="G25" s="2"/>
      <c r="H25" s="32" t="s">
        <v>302</v>
      </c>
      <c r="I25" s="101">
        <f>E55</f>
        <v>4550</v>
      </c>
      <c r="J25" s="102">
        <f t="shared" si="4"/>
        <v>27300</v>
      </c>
      <c r="K25" s="217"/>
      <c r="L25" s="32" t="s">
        <v>302</v>
      </c>
      <c r="M25" s="102">
        <v>4500</v>
      </c>
      <c r="N25" s="293">
        <f t="shared" si="3"/>
        <v>-0.8351648351648352</v>
      </c>
      <c r="O25" s="101">
        <v>27000</v>
      </c>
      <c r="P25" s="217"/>
      <c r="Q25" s="2"/>
      <c r="R25" s="2"/>
      <c r="S25" s="2"/>
      <c r="T25" s="2"/>
      <c r="U25" s="2"/>
      <c r="V25" s="2"/>
      <c r="W25" s="2"/>
      <c r="X25" s="2"/>
      <c r="Y25" s="2"/>
    </row>
    <row r="26" spans="1:25" ht="14.5" x14ac:dyDescent="0.35">
      <c r="A26" s="186"/>
      <c r="B26" s="186"/>
      <c r="C26" s="186"/>
      <c r="D26" s="186"/>
      <c r="E26" s="186"/>
      <c r="F26" s="123"/>
      <c r="G26" s="2"/>
      <c r="H26" s="32" t="s">
        <v>303</v>
      </c>
      <c r="I26" s="101">
        <f>F55</f>
        <v>3350</v>
      </c>
      <c r="J26" s="102"/>
      <c r="K26" s="217"/>
      <c r="L26" s="32" t="s">
        <v>303</v>
      </c>
      <c r="M26" s="102">
        <v>3300</v>
      </c>
      <c r="N26" s="293" t="e">
        <f t="shared" si="3"/>
        <v>#DIV/0!</v>
      </c>
      <c r="O26" s="101"/>
      <c r="P26" s="217"/>
      <c r="Q26" s="2"/>
      <c r="R26" s="2"/>
      <c r="S26" s="2"/>
      <c r="T26" s="2"/>
      <c r="U26" s="2"/>
      <c r="V26" s="2"/>
      <c r="W26" s="2"/>
      <c r="X26" s="2"/>
      <c r="Y26" s="2"/>
    </row>
    <row r="27" spans="1:25" ht="14.5" x14ac:dyDescent="0.35">
      <c r="A27" s="75" t="s">
        <v>520</v>
      </c>
      <c r="B27" s="199">
        <v>-470</v>
      </c>
      <c r="C27" s="199">
        <v>-720</v>
      </c>
      <c r="D27" s="199">
        <v>-1020</v>
      </c>
      <c r="E27" s="199">
        <v>-1020</v>
      </c>
      <c r="F27" s="66"/>
      <c r="G27" s="217"/>
      <c r="H27" s="46" t="s">
        <v>304</v>
      </c>
      <c r="I27" s="108">
        <f>G55</f>
        <v>4350</v>
      </c>
      <c r="J27" s="107"/>
      <c r="K27" s="217"/>
      <c r="L27" s="46" t="s">
        <v>304</v>
      </c>
      <c r="M27" s="107">
        <v>4300</v>
      </c>
      <c r="N27" s="293" t="e">
        <f t="shared" si="3"/>
        <v>#DIV/0!</v>
      </c>
      <c r="O27" s="108"/>
      <c r="P27" s="217"/>
      <c r="Q27" s="2"/>
      <c r="R27" s="2"/>
      <c r="S27" s="2"/>
      <c r="T27" s="2"/>
      <c r="U27" s="2"/>
      <c r="V27" s="2"/>
      <c r="W27" s="2"/>
      <c r="X27" s="2"/>
      <c r="Y27" s="2"/>
    </row>
    <row r="28" spans="1:25" ht="14.5" x14ac:dyDescent="0.35">
      <c r="A28" s="188" t="s">
        <v>294</v>
      </c>
      <c r="B28" s="188">
        <f>_xlfn.FLOOR.MATH(B25+B27,,TRUE)</f>
        <v>7150</v>
      </c>
      <c r="C28" s="188">
        <f>_xlfn.FLOOR.MATH(C25+C27,,TRUE)</f>
        <v>6900</v>
      </c>
      <c r="D28" s="188">
        <f>_xlfn.FLOOR.MATH(D25+D27,,TRUE)</f>
        <v>6600</v>
      </c>
      <c r="E28" s="188">
        <f>_xlfn.FLOOR.MATH(E25+E27,,TRUE)</f>
        <v>6600</v>
      </c>
      <c r="F28" s="123"/>
      <c r="G28" s="2"/>
      <c r="H28" s="125"/>
      <c r="I28" s="126"/>
      <c r="J28" s="127"/>
      <c r="K28" s="217"/>
      <c r="L28" s="257"/>
      <c r="M28" s="257" t="s">
        <v>32</v>
      </c>
      <c r="N28" s="293"/>
      <c r="O28" s="101"/>
      <c r="P28" s="217"/>
      <c r="Q28" s="2"/>
      <c r="R28" s="2"/>
      <c r="S28" s="2"/>
      <c r="T28" s="2"/>
      <c r="U28" s="2"/>
      <c r="V28" s="2"/>
      <c r="W28" s="2"/>
      <c r="X28" s="2"/>
      <c r="Y28" s="2"/>
    </row>
    <row r="29" spans="1:25" ht="14.5" x14ac:dyDescent="0.35">
      <c r="A29" s="217"/>
      <c r="B29" s="217"/>
      <c r="C29" s="217"/>
      <c r="D29" s="217"/>
      <c r="E29" s="217"/>
      <c r="F29" s="66"/>
      <c r="G29" s="217"/>
      <c r="H29" s="217"/>
      <c r="I29" s="98"/>
      <c r="J29" s="98"/>
      <c r="K29" s="217"/>
      <c r="L29" s="217"/>
      <c r="M29" s="98"/>
      <c r="N29" s="293"/>
      <c r="O29" s="98"/>
      <c r="P29" s="217"/>
      <c r="Q29" s="2"/>
      <c r="R29" s="2"/>
      <c r="S29" s="2"/>
      <c r="T29" s="2"/>
      <c r="U29" s="2"/>
      <c r="V29" s="2"/>
      <c r="W29" s="2"/>
      <c r="X29" s="2"/>
      <c r="Y29" s="2"/>
    </row>
    <row r="30" spans="1:25" ht="14.5" x14ac:dyDescent="0.35">
      <c r="A30" s="1" t="s">
        <v>305</v>
      </c>
      <c r="B30" s="4"/>
      <c r="C30" s="4"/>
      <c r="D30" s="4"/>
      <c r="E30" s="4"/>
      <c r="F30" s="69"/>
      <c r="G30" s="217"/>
      <c r="H30" s="93" t="s">
        <v>186</v>
      </c>
      <c r="I30" s="94"/>
      <c r="J30" s="95"/>
      <c r="K30" s="217"/>
      <c r="L30" s="93" t="s">
        <v>186</v>
      </c>
      <c r="M30" s="95"/>
      <c r="N30" s="293"/>
      <c r="O30" s="94"/>
      <c r="P30" s="217"/>
      <c r="Q30" s="2"/>
      <c r="R30" s="2"/>
      <c r="S30" s="2"/>
      <c r="T30" s="2"/>
      <c r="U30" s="2"/>
      <c r="V30" s="2"/>
      <c r="W30" s="2"/>
      <c r="X30" s="2"/>
      <c r="Y30" s="2"/>
    </row>
    <row r="31" spans="1:25" ht="14.5" x14ac:dyDescent="0.35">
      <c r="A31" s="87" t="s">
        <v>277</v>
      </c>
      <c r="B31" s="117" t="s">
        <v>306</v>
      </c>
      <c r="C31" s="217"/>
      <c r="D31" s="217"/>
      <c r="E31" s="217"/>
      <c r="F31" s="66"/>
      <c r="G31" s="217"/>
      <c r="H31" s="46" t="s">
        <v>307</v>
      </c>
      <c r="I31" s="108"/>
      <c r="J31" s="107">
        <f>B67</f>
        <v>7200.1341379310343</v>
      </c>
      <c r="K31" s="217"/>
      <c r="L31" s="46" t="s">
        <v>307</v>
      </c>
      <c r="M31" s="107">
        <v>7200</v>
      </c>
      <c r="N31" s="293">
        <f>(M31-J31)/J31</f>
        <v>-1.8629921118777821E-5</v>
      </c>
      <c r="O31" s="108"/>
      <c r="P31" s="217"/>
      <c r="Q31" s="2"/>
      <c r="R31" s="2"/>
      <c r="S31" s="2"/>
      <c r="T31" s="2"/>
      <c r="U31" s="2"/>
      <c r="V31" s="2"/>
      <c r="W31" s="2"/>
      <c r="X31" s="2"/>
      <c r="Y31" s="2"/>
    </row>
    <row r="32" spans="1:25" ht="14.5" x14ac:dyDescent="0.35">
      <c r="A32" s="75" t="s">
        <v>138</v>
      </c>
      <c r="B32" s="92">
        <f>'Oversikt Variabler'!B25</f>
        <v>724.5</v>
      </c>
      <c r="C32" s="217"/>
      <c r="D32" s="217"/>
      <c r="E32" s="217"/>
      <c r="F32" s="66"/>
      <c r="G32" s="217"/>
      <c r="H32" s="4"/>
      <c r="I32" s="108"/>
      <c r="J32" s="111"/>
      <c r="K32" s="217"/>
      <c r="L32" s="217"/>
      <c r="M32" s="98"/>
      <c r="N32" s="293"/>
      <c r="O32" s="101"/>
      <c r="P32" s="217"/>
      <c r="Q32" s="2"/>
      <c r="R32" s="2"/>
      <c r="S32" s="2"/>
      <c r="T32" s="2"/>
      <c r="U32" s="2"/>
      <c r="V32" s="2"/>
      <c r="W32" s="2"/>
      <c r="X32" s="2"/>
      <c r="Y32" s="2"/>
    </row>
    <row r="33" spans="1:25" ht="14.5" x14ac:dyDescent="0.35">
      <c r="A33" s="75" t="s">
        <v>281</v>
      </c>
      <c r="B33" s="92">
        <f>'Oversikt Variabler'!$B$26</f>
        <v>50</v>
      </c>
      <c r="C33" s="217"/>
      <c r="D33" s="217"/>
      <c r="E33" s="217"/>
      <c r="F33" s="66"/>
      <c r="G33" s="217"/>
      <c r="H33" s="96" t="s">
        <v>184</v>
      </c>
      <c r="I33" s="424"/>
      <c r="J33" s="98"/>
      <c r="K33" s="32"/>
      <c r="L33" s="509" t="s">
        <v>184</v>
      </c>
      <c r="M33" s="510"/>
      <c r="N33" s="454"/>
      <c r="O33" s="628"/>
      <c r="P33" s="217"/>
      <c r="Q33" s="2"/>
      <c r="R33" s="2"/>
      <c r="S33" s="2"/>
      <c r="T33" s="2"/>
      <c r="U33" s="2"/>
      <c r="V33" s="2"/>
      <c r="W33" s="2"/>
      <c r="X33" s="2"/>
      <c r="Y33" s="2"/>
    </row>
    <row r="34" spans="1:25" ht="14.5" x14ac:dyDescent="0.35">
      <c r="A34" s="75" t="s">
        <v>283</v>
      </c>
      <c r="B34" s="92">
        <f>'Oversikt Variabler'!B27</f>
        <v>600</v>
      </c>
      <c r="C34" s="217"/>
      <c r="D34" s="217"/>
      <c r="E34" s="217"/>
      <c r="F34" s="66"/>
      <c r="G34" s="217"/>
      <c r="H34" s="32" t="s">
        <v>308</v>
      </c>
      <c r="I34" s="424"/>
      <c r="J34" s="101">
        <f>B78</f>
        <v>3800.3450000000003</v>
      </c>
      <c r="K34" s="32"/>
      <c r="L34" s="511" t="s">
        <v>308</v>
      </c>
      <c r="M34" s="512">
        <v>3650.4417999999996</v>
      </c>
      <c r="N34" s="454">
        <f>(M34-J34)/J34</f>
        <v>-3.9444629369175865E-2</v>
      </c>
      <c r="O34" s="424"/>
      <c r="P34" s="217"/>
      <c r="Q34" s="2"/>
      <c r="R34" s="2"/>
      <c r="S34" s="2"/>
      <c r="T34" s="2"/>
      <c r="U34" s="2"/>
      <c r="V34" s="2"/>
      <c r="W34" s="2"/>
      <c r="X34" s="2"/>
      <c r="Y34" s="2"/>
    </row>
    <row r="35" spans="1:25" ht="14.5" x14ac:dyDescent="0.35">
      <c r="A35" s="75" t="s">
        <v>285</v>
      </c>
      <c r="B35" s="92">
        <f>'Oversikt Variabler'!B32</f>
        <v>600</v>
      </c>
      <c r="C35" s="217"/>
      <c r="D35" s="217"/>
      <c r="E35" s="217"/>
      <c r="F35" s="66"/>
      <c r="G35" s="217"/>
      <c r="H35" s="46" t="s">
        <v>309</v>
      </c>
      <c r="I35" s="108"/>
      <c r="J35" s="107">
        <f>C78</f>
        <v>4199.92</v>
      </c>
      <c r="K35" s="217"/>
      <c r="L35" s="391" t="s">
        <v>309</v>
      </c>
      <c r="M35" s="514">
        <v>4099.6617999999999</v>
      </c>
      <c r="N35" s="454">
        <f>(M35-J35)/J35</f>
        <v>-2.3871454694375183E-2</v>
      </c>
      <c r="O35" s="513"/>
      <c r="P35" s="217"/>
      <c r="Q35" s="2"/>
      <c r="R35" s="2"/>
      <c r="S35" s="2"/>
      <c r="T35" s="2"/>
      <c r="U35" s="2"/>
      <c r="V35" s="2"/>
      <c r="W35" s="2"/>
      <c r="X35" s="2"/>
      <c r="Y35" s="2"/>
    </row>
    <row r="36" spans="1:25" s="451" customFormat="1" ht="14.5" x14ac:dyDescent="0.35">
      <c r="A36" s="75" t="s">
        <v>643</v>
      </c>
      <c r="B36" s="92">
        <f>'Oversikt Variabler'!B33</f>
        <v>0</v>
      </c>
      <c r="C36" s="217"/>
      <c r="D36" s="217"/>
      <c r="E36" s="217"/>
      <c r="F36" s="66"/>
      <c r="G36" s="217"/>
      <c r="H36" s="217"/>
      <c r="I36" s="101"/>
      <c r="J36" s="101"/>
      <c r="K36" s="217"/>
      <c r="L36" s="217"/>
      <c r="M36" s="101"/>
      <c r="N36" s="454"/>
      <c r="O36" s="101"/>
      <c r="P36" s="217"/>
      <c r="Q36" s="2"/>
      <c r="R36" s="2"/>
      <c r="S36" s="2"/>
      <c r="T36" s="2"/>
      <c r="U36" s="2"/>
      <c r="V36" s="2"/>
      <c r="W36" s="2"/>
      <c r="X36" s="2"/>
      <c r="Y36" s="2"/>
    </row>
    <row r="37" spans="1:25" ht="14.5" x14ac:dyDescent="0.35">
      <c r="A37" s="75" t="s">
        <v>6</v>
      </c>
      <c r="B37" s="92">
        <f>'Oversikt Variabler'!B17*1.25*'Oversikt Variabler'!B4</f>
        <v>2394.4976562500001</v>
      </c>
      <c r="C37" s="217"/>
      <c r="D37" s="217"/>
      <c r="E37" s="217"/>
      <c r="F37" s="66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"/>
      <c r="R37" s="2"/>
      <c r="S37" s="2"/>
      <c r="T37" s="2"/>
      <c r="U37" s="2"/>
      <c r="V37" s="2"/>
      <c r="W37" s="2"/>
      <c r="X37" s="2"/>
      <c r="Y37" s="2"/>
    </row>
    <row r="38" spans="1:25" ht="14.5" x14ac:dyDescent="0.35">
      <c r="A38" s="75" t="s">
        <v>291</v>
      </c>
      <c r="B38" s="92">
        <f>'Oversikt Variabler'!B23*'Oversikt Variabler'!B4</f>
        <v>46</v>
      </c>
      <c r="C38" s="217"/>
      <c r="D38" s="217"/>
      <c r="E38" s="217"/>
      <c r="F38" s="66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"/>
      <c r="R38" s="2"/>
      <c r="S38" s="2"/>
      <c r="T38" s="2"/>
      <c r="U38" s="2"/>
      <c r="V38" s="2"/>
      <c r="W38" s="2"/>
      <c r="X38" s="2"/>
      <c r="Y38" s="2"/>
    </row>
    <row r="39" spans="1:25" ht="14.5" x14ac:dyDescent="0.35">
      <c r="A39" s="75" t="s">
        <v>292</v>
      </c>
      <c r="B39" s="92">
        <v>0</v>
      </c>
      <c r="C39" s="217"/>
      <c r="D39" s="217"/>
      <c r="E39" s="217"/>
      <c r="F39" s="66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"/>
      <c r="R39" s="2"/>
      <c r="S39" s="2"/>
      <c r="T39" s="2"/>
      <c r="U39" s="2"/>
      <c r="V39" s="2"/>
      <c r="W39" s="2"/>
      <c r="X39" s="2"/>
      <c r="Y39" s="2"/>
    </row>
    <row r="40" spans="1:25" ht="14.5" x14ac:dyDescent="0.35">
      <c r="A40" s="204" t="s">
        <v>293</v>
      </c>
      <c r="B40" s="186">
        <f>SUM(B32:B39)</f>
        <v>4414.9976562499996</v>
      </c>
      <c r="C40" s="217"/>
      <c r="D40" s="217"/>
      <c r="E40" s="217"/>
      <c r="F40" s="66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"/>
      <c r="R40" s="2"/>
      <c r="S40" s="2"/>
      <c r="T40" s="2"/>
      <c r="U40" s="2"/>
      <c r="V40" s="2"/>
      <c r="W40" s="2"/>
      <c r="X40" s="2"/>
      <c r="Y40" s="2"/>
    </row>
    <row r="41" spans="1:25" ht="14.5" x14ac:dyDescent="0.35">
      <c r="A41" s="75" t="s">
        <v>520</v>
      </c>
      <c r="B41" s="92">
        <v>-515</v>
      </c>
      <c r="C41" s="217"/>
      <c r="D41" s="217"/>
      <c r="E41" s="217"/>
      <c r="F41" s="66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"/>
      <c r="R41" s="2"/>
      <c r="S41" s="2"/>
      <c r="T41" s="2"/>
      <c r="U41" s="2"/>
      <c r="V41" s="2"/>
      <c r="W41" s="2"/>
      <c r="X41" s="2"/>
      <c r="Y41" s="2"/>
    </row>
    <row r="42" spans="1:25" ht="14.5" x14ac:dyDescent="0.35">
      <c r="A42" s="205" t="s">
        <v>294</v>
      </c>
      <c r="B42" s="188">
        <f>_xlfn.CEILING.MATH(B40+B41,,FALSE)</f>
        <v>3900</v>
      </c>
      <c r="C42" s="217"/>
      <c r="D42" s="217"/>
      <c r="E42" s="217"/>
      <c r="F42" s="66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"/>
      <c r="R42" s="2"/>
      <c r="S42" s="2"/>
      <c r="T42" s="2"/>
      <c r="U42" s="2"/>
      <c r="V42" s="2"/>
      <c r="W42" s="2"/>
      <c r="X42" s="2"/>
      <c r="Y42" s="2"/>
    </row>
    <row r="43" spans="1:25" ht="14.5" x14ac:dyDescent="0.35">
      <c r="A43" s="217"/>
      <c r="B43" s="217"/>
      <c r="C43" s="217"/>
      <c r="D43" s="217"/>
      <c r="E43" s="217"/>
      <c r="F43" s="66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"/>
      <c r="R43" s="2"/>
      <c r="S43" s="2"/>
      <c r="T43" s="2"/>
      <c r="U43" s="2"/>
      <c r="V43" s="2"/>
      <c r="W43" s="2"/>
      <c r="X43" s="2"/>
      <c r="Y43" s="2"/>
    </row>
    <row r="44" spans="1:25" ht="14.5" x14ac:dyDescent="0.35">
      <c r="A44" s="14" t="s">
        <v>311</v>
      </c>
      <c r="B44" s="217"/>
      <c r="C44" s="217"/>
      <c r="D44" s="217"/>
      <c r="E44" s="217"/>
      <c r="F44" s="66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"/>
      <c r="R44" s="2"/>
      <c r="S44" s="2"/>
      <c r="T44" s="2"/>
      <c r="U44" s="2"/>
      <c r="V44" s="2"/>
      <c r="W44" s="2"/>
      <c r="X44" s="2"/>
      <c r="Y44" s="2"/>
    </row>
    <row r="45" spans="1:25" ht="14.5" x14ac:dyDescent="0.35">
      <c r="A45" s="425" t="s">
        <v>277</v>
      </c>
      <c r="B45" s="426" t="s">
        <v>312</v>
      </c>
      <c r="C45" s="426" t="s">
        <v>313</v>
      </c>
      <c r="D45" s="426" t="s">
        <v>316</v>
      </c>
      <c r="E45" s="427" t="s">
        <v>317</v>
      </c>
      <c r="F45" s="426" t="s">
        <v>314</v>
      </c>
      <c r="G45" s="428" t="s">
        <v>315</v>
      </c>
      <c r="J45" s="217"/>
      <c r="K45" s="217"/>
      <c r="L45" s="217"/>
      <c r="M45" s="217"/>
      <c r="N45" s="217"/>
      <c r="O45" s="217"/>
      <c r="P45" s="217"/>
      <c r="Q45" s="2"/>
      <c r="R45" s="2"/>
      <c r="S45" s="2"/>
      <c r="T45" s="2"/>
      <c r="U45" s="2"/>
      <c r="V45" s="2"/>
      <c r="W45" s="2"/>
      <c r="X45" s="2"/>
      <c r="Y45" s="2"/>
    </row>
    <row r="46" spans="1:25" ht="14.5" x14ac:dyDescent="0.35">
      <c r="A46" s="202" t="s">
        <v>138</v>
      </c>
      <c r="B46" s="92">
        <f>'Oversikt Variabler'!B25</f>
        <v>724.5</v>
      </c>
      <c r="C46" s="92">
        <f>'Oversikt Variabler'!B25</f>
        <v>724.5</v>
      </c>
      <c r="D46" s="92">
        <f>'Oversikt Variabler'!B25</f>
        <v>724.5</v>
      </c>
      <c r="E46" s="455">
        <f>'Oversikt Variabler'!B25</f>
        <v>724.5</v>
      </c>
      <c r="F46" s="197">
        <f>'Oversikt Variabler'!B25</f>
        <v>724.5</v>
      </c>
      <c r="G46" s="197">
        <f>'Oversikt Variabler'!B25</f>
        <v>724.5</v>
      </c>
      <c r="J46" s="217"/>
      <c r="K46" s="217"/>
      <c r="L46" s="217"/>
      <c r="M46" s="217"/>
      <c r="N46" s="217"/>
      <c r="O46" s="217"/>
      <c r="P46" s="217"/>
      <c r="Q46" s="2"/>
      <c r="R46" s="2"/>
      <c r="S46" s="2"/>
      <c r="T46" s="2"/>
      <c r="U46" s="2"/>
      <c r="V46" s="2"/>
      <c r="W46" s="2"/>
      <c r="X46" s="2"/>
      <c r="Y46" s="2"/>
    </row>
    <row r="47" spans="1:25" ht="14.5" x14ac:dyDescent="0.35">
      <c r="A47" s="202" t="s">
        <v>318</v>
      </c>
      <c r="B47" s="92">
        <f>'Oversikt Variabler'!$B$26</f>
        <v>50</v>
      </c>
      <c r="C47" s="92">
        <f>'Oversikt Variabler'!$B$26</f>
        <v>50</v>
      </c>
      <c r="D47" s="92">
        <f>'Oversikt Variabler'!$B$26</f>
        <v>50</v>
      </c>
      <c r="E47" s="132">
        <f>'Oversikt Variabler'!$B$26</f>
        <v>50</v>
      </c>
      <c r="F47" s="198">
        <f>'Oversikt Variabler'!$B$26</f>
        <v>50</v>
      </c>
      <c r="G47" s="198">
        <f>'Oversikt Variabler'!$B$26</f>
        <v>50</v>
      </c>
      <c r="J47" s="217"/>
      <c r="K47" s="217"/>
      <c r="L47" s="217"/>
      <c r="M47" s="217"/>
      <c r="N47" s="217"/>
      <c r="O47" s="217"/>
      <c r="P47" s="217"/>
      <c r="Q47" s="2"/>
      <c r="R47" s="2"/>
      <c r="S47" s="2"/>
      <c r="T47" s="2"/>
      <c r="U47" s="2"/>
      <c r="V47" s="2"/>
      <c r="W47" s="2"/>
      <c r="X47" s="2"/>
      <c r="Y47" s="2"/>
    </row>
    <row r="48" spans="1:25" ht="14.5" x14ac:dyDescent="0.35">
      <c r="A48" s="202" t="s">
        <v>319</v>
      </c>
      <c r="B48" s="92">
        <f>'Oversikt Variabler'!B34</f>
        <v>400</v>
      </c>
      <c r="C48" s="92">
        <f>'Oversikt Variabler'!B34</f>
        <v>400</v>
      </c>
      <c r="D48" s="92">
        <f>'Oversikt Variabler'!B34</f>
        <v>400</v>
      </c>
      <c r="E48" s="132">
        <f>'Oversikt Variabler'!B34</f>
        <v>400</v>
      </c>
      <c r="F48" s="198"/>
      <c r="G48" s="458"/>
      <c r="J48" s="217"/>
      <c r="K48" s="217"/>
      <c r="L48" s="217"/>
      <c r="M48" s="217"/>
      <c r="N48" s="217"/>
      <c r="O48" s="217"/>
      <c r="P48" s="217"/>
      <c r="Q48" s="2"/>
      <c r="R48" s="2"/>
      <c r="S48" s="2"/>
      <c r="T48" s="2"/>
      <c r="U48" s="2"/>
      <c r="V48" s="2"/>
      <c r="W48" s="2"/>
      <c r="X48" s="2"/>
      <c r="Y48" s="2"/>
    </row>
    <row r="49" spans="1:25" ht="14.5" x14ac:dyDescent="0.35">
      <c r="A49" s="202" t="s">
        <v>298</v>
      </c>
      <c r="B49" s="92"/>
      <c r="C49" s="92"/>
      <c r="D49" s="92">
        <f>'Oversikt Variabler'!B36</f>
        <v>1500</v>
      </c>
      <c r="E49" s="456">
        <f>'Oversikt Variabler'!B36</f>
        <v>1500</v>
      </c>
      <c r="F49" s="458">
        <f>'Oversikt Variabler'!B35</f>
        <v>1600</v>
      </c>
      <c r="G49" s="198">
        <f>'Oversikt Variabler'!B35</f>
        <v>1600</v>
      </c>
      <c r="J49" s="217"/>
      <c r="K49" s="217"/>
      <c r="L49" s="217"/>
      <c r="M49" s="217"/>
      <c r="N49" s="217"/>
      <c r="O49" s="217"/>
      <c r="P49" s="217"/>
      <c r="Q49" s="2"/>
      <c r="R49" s="2"/>
      <c r="S49" s="2"/>
      <c r="T49" s="2"/>
      <c r="U49" s="2"/>
      <c r="V49" s="2"/>
      <c r="W49" s="2"/>
      <c r="X49" s="2"/>
      <c r="Y49" s="2"/>
    </row>
    <row r="50" spans="1:25" ht="14.5" x14ac:dyDescent="0.35">
      <c r="A50" s="202" t="s">
        <v>6</v>
      </c>
      <c r="B50" s="92">
        <f>'Oversikt Variabler'!$B$4*'Oversikt Variabler'!B$10</f>
        <v>1478.7658333333334</v>
      </c>
      <c r="C50" s="92">
        <f>'Oversikt Variabler'!$B$4*'Oversikt Variabler'!$B$11</f>
        <v>2541.7299999999996</v>
      </c>
      <c r="D50" s="92">
        <f>'Oversikt Variabler'!$B$4*'Oversikt Variabler'!B$10</f>
        <v>1478.7658333333334</v>
      </c>
      <c r="E50" s="92">
        <f>'Oversikt Variabler'!$B$4*'Oversikt Variabler'!$B$11</f>
        <v>2541.7299999999996</v>
      </c>
      <c r="F50" s="92">
        <f>'Oversikt Variabler'!$B$4*'Oversikt Variabler'!$B$12</f>
        <v>1441.0650000000001</v>
      </c>
      <c r="G50" s="92">
        <f>'Oversikt Variabler'!$B$4*'Oversikt Variabler'!$B$13</f>
        <v>2493.3150000000001</v>
      </c>
      <c r="J50" s="217"/>
      <c r="K50" s="217"/>
      <c r="L50" s="217"/>
      <c r="M50" s="217"/>
      <c r="N50" s="217"/>
      <c r="O50" s="217"/>
      <c r="P50" s="217"/>
      <c r="Q50" s="2"/>
      <c r="R50" s="2"/>
      <c r="S50" s="2"/>
      <c r="T50" s="2"/>
      <c r="U50" s="2"/>
      <c r="V50" s="2"/>
      <c r="W50" s="2"/>
      <c r="X50" s="2"/>
      <c r="Y50" s="2"/>
    </row>
    <row r="51" spans="1:25" ht="14.5" x14ac:dyDescent="0.35">
      <c r="A51" s="202" t="s">
        <v>291</v>
      </c>
      <c r="B51" s="92">
        <f>'Oversikt Variabler'!$B$24*'Oversikt Variabler'!$B$4</f>
        <v>34.5</v>
      </c>
      <c r="C51" s="92">
        <f>'Oversikt Variabler'!$B$24*'Oversikt Variabler'!$B$4</f>
        <v>34.5</v>
      </c>
      <c r="D51" s="92">
        <f>'Oversikt Variabler'!$B$24*'Oversikt Variabler'!$B$4</f>
        <v>34.5</v>
      </c>
      <c r="E51" s="92">
        <f>'Oversikt Variabler'!$B$24*'Oversikt Variabler'!$B$4</f>
        <v>34.5</v>
      </c>
      <c r="F51" s="92">
        <f>'Oversikt Variabler'!$B$24*'Oversikt Variabler'!$B$4</f>
        <v>34.5</v>
      </c>
      <c r="G51" s="92">
        <f>'Oversikt Variabler'!$B$24*'Oversikt Variabler'!$B$4</f>
        <v>34.5</v>
      </c>
      <c r="J51" s="217"/>
      <c r="K51" s="217"/>
      <c r="L51" s="217"/>
      <c r="M51" s="217"/>
      <c r="N51" s="217"/>
      <c r="O51" s="217"/>
      <c r="P51" s="217"/>
      <c r="Q51" s="2"/>
      <c r="R51" s="2"/>
      <c r="S51" s="2"/>
      <c r="T51" s="2"/>
      <c r="U51" s="2"/>
      <c r="V51" s="2"/>
      <c r="W51" s="2"/>
      <c r="X51" s="2"/>
      <c r="Y51" s="2"/>
    </row>
    <row r="52" spans="1:25" ht="14.5" x14ac:dyDescent="0.35">
      <c r="A52" s="202" t="s">
        <v>292</v>
      </c>
      <c r="B52" s="92">
        <v>0</v>
      </c>
      <c r="C52" s="92">
        <v>0</v>
      </c>
      <c r="D52" s="92">
        <v>0</v>
      </c>
      <c r="E52" s="132">
        <v>0</v>
      </c>
      <c r="F52" s="198">
        <v>0</v>
      </c>
      <c r="G52" s="198">
        <v>0</v>
      </c>
      <c r="J52" s="217"/>
      <c r="K52" s="217"/>
      <c r="L52" s="217"/>
      <c r="M52" s="217"/>
      <c r="N52" s="217"/>
      <c r="O52" s="217"/>
      <c r="P52" s="217"/>
      <c r="Q52" s="2"/>
      <c r="R52" s="2"/>
      <c r="S52" s="2"/>
      <c r="T52" s="2"/>
      <c r="U52" s="2"/>
      <c r="V52" s="2"/>
      <c r="W52" s="2"/>
      <c r="X52" s="2"/>
      <c r="Y52" s="2"/>
    </row>
    <row r="53" spans="1:25" ht="14.5" x14ac:dyDescent="0.35">
      <c r="A53" s="204" t="s">
        <v>293</v>
      </c>
      <c r="B53" s="186">
        <f t="shared" ref="B53:C53" si="6">SUM(B46:B52)</f>
        <v>2687.7658333333334</v>
      </c>
      <c r="C53" s="186">
        <f t="shared" si="6"/>
        <v>3750.7299999999996</v>
      </c>
      <c r="D53" s="186">
        <f>SUM(D46:D52)</f>
        <v>4187.7658333333329</v>
      </c>
      <c r="E53" s="457">
        <f>SUM(E46:E52)</f>
        <v>5250.73</v>
      </c>
      <c r="F53" s="186">
        <f>SUM(F46:F52)</f>
        <v>3850.0650000000001</v>
      </c>
      <c r="G53" s="186">
        <f>SUM(G46:G52)</f>
        <v>4902.3150000000005</v>
      </c>
      <c r="J53" s="217"/>
      <c r="K53" s="217"/>
      <c r="L53" s="217"/>
      <c r="M53" s="217"/>
      <c r="N53" s="217"/>
      <c r="O53" s="217"/>
      <c r="P53" s="217"/>
      <c r="Q53" s="2"/>
      <c r="R53" s="2"/>
      <c r="S53" s="2"/>
      <c r="T53" s="2"/>
      <c r="U53" s="2"/>
      <c r="V53" s="2"/>
      <c r="W53" s="2"/>
      <c r="X53" s="2"/>
      <c r="Y53" s="2"/>
    </row>
    <row r="54" spans="1:25" ht="14.5" x14ac:dyDescent="0.35">
      <c r="A54" s="202" t="s">
        <v>520</v>
      </c>
      <c r="B54" s="92">
        <f>163</f>
        <v>163</v>
      </c>
      <c r="C54" s="92">
        <v>-101</v>
      </c>
      <c r="D54" s="92">
        <v>-338</v>
      </c>
      <c r="E54" s="132">
        <f>-701</f>
        <v>-701</v>
      </c>
      <c r="F54" s="199">
        <f>-500</f>
        <v>-500</v>
      </c>
      <c r="G54" s="199">
        <f>-552</f>
        <v>-552</v>
      </c>
      <c r="J54" s="217"/>
      <c r="K54" s="217"/>
      <c r="L54" s="217"/>
      <c r="M54" s="217"/>
      <c r="N54" s="217"/>
      <c r="O54" s="217"/>
      <c r="P54" s="217"/>
      <c r="Q54" s="2"/>
      <c r="R54" s="2"/>
      <c r="S54" s="2"/>
      <c r="T54" s="2"/>
      <c r="U54" s="2"/>
      <c r="V54" s="2"/>
      <c r="W54" s="2"/>
      <c r="X54" s="2"/>
      <c r="Y54" s="2"/>
    </row>
    <row r="55" spans="1:25" ht="14.5" x14ac:dyDescent="0.35">
      <c r="A55" s="205" t="s">
        <v>294</v>
      </c>
      <c r="B55" s="188">
        <f>_xlfn.FLOOR.MATH(B53+B54,,FALSE)</f>
        <v>2850</v>
      </c>
      <c r="C55" s="188">
        <f>_xlfn.CEILING.MATH(C53+C54,,FALSE)</f>
        <v>3650</v>
      </c>
      <c r="D55" s="188">
        <f>_xlfn.CEILING.MATH(D53+D54,,FALSE)</f>
        <v>3850</v>
      </c>
      <c r="E55" s="188">
        <f>_xlfn.CEILING.MATH(E53+E54,,FALSE)</f>
        <v>4550</v>
      </c>
      <c r="F55" s="188">
        <f>_xlfn.FLOOR.MATH(F53+F54,,FALSE)</f>
        <v>3350</v>
      </c>
      <c r="G55" s="188">
        <f>_xlfn.FLOOR.MATH(G53+G54,,FALSE)</f>
        <v>4350</v>
      </c>
      <c r="J55" s="217"/>
      <c r="K55" s="217"/>
      <c r="L55" s="217"/>
      <c r="M55" s="217"/>
      <c r="N55" s="217"/>
      <c r="O55" s="217"/>
      <c r="P55" s="217"/>
      <c r="Q55" s="2"/>
      <c r="R55" s="2"/>
      <c r="S55" s="2"/>
      <c r="T55" s="2"/>
      <c r="U55" s="2"/>
      <c r="V55" s="2"/>
      <c r="W55" s="2"/>
      <c r="X55" s="2"/>
      <c r="Y55" s="2"/>
    </row>
    <row r="56" spans="1:25" ht="14.5" x14ac:dyDescent="0.35">
      <c r="A56" s="217"/>
      <c r="B56" s="217"/>
      <c r="C56" s="217"/>
      <c r="D56" s="217"/>
      <c r="E56" s="217"/>
      <c r="F56" s="66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"/>
      <c r="R56" s="2"/>
      <c r="S56" s="2"/>
      <c r="T56" s="2"/>
      <c r="U56" s="2"/>
      <c r="V56" s="2"/>
      <c r="W56" s="2"/>
      <c r="X56" s="2"/>
      <c r="Y56" s="2"/>
    </row>
    <row r="57" spans="1:25" ht="14.5" x14ac:dyDescent="0.35">
      <c r="A57" s="1" t="s">
        <v>320</v>
      </c>
      <c r="B57" s="4"/>
      <c r="C57" s="4"/>
      <c r="D57" s="4"/>
      <c r="E57" s="4"/>
      <c r="F57" s="69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"/>
      <c r="R57" s="2"/>
      <c r="S57" s="2"/>
      <c r="T57" s="2"/>
      <c r="U57" s="2"/>
      <c r="V57" s="2"/>
      <c r="W57" s="2"/>
      <c r="X57" s="2"/>
      <c r="Y57" s="2"/>
    </row>
    <row r="58" spans="1:25" ht="14.5" x14ac:dyDescent="0.35">
      <c r="A58" s="193" t="s">
        <v>277</v>
      </c>
      <c r="B58" s="196" t="s">
        <v>306</v>
      </c>
      <c r="C58" s="217"/>
      <c r="D58" s="217"/>
      <c r="E58" s="217"/>
      <c r="F58" s="66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"/>
      <c r="R58" s="2"/>
      <c r="S58" s="2"/>
      <c r="T58" s="2"/>
      <c r="U58" s="2"/>
      <c r="V58" s="2"/>
      <c r="W58" s="2"/>
      <c r="X58" s="2"/>
      <c r="Y58" s="2"/>
    </row>
    <row r="59" spans="1:25" ht="14.5" x14ac:dyDescent="0.35">
      <c r="A59" s="200" t="s">
        <v>138</v>
      </c>
      <c r="B59" s="201">
        <f>'Oversikt Variabler'!B25</f>
        <v>724.5</v>
      </c>
      <c r="C59" s="217"/>
      <c r="D59" s="217"/>
      <c r="E59" s="217"/>
      <c r="F59" s="66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"/>
      <c r="R59" s="2"/>
      <c r="S59" s="2"/>
      <c r="T59" s="2"/>
      <c r="U59" s="2"/>
      <c r="V59" s="2"/>
      <c r="W59" s="2"/>
      <c r="X59" s="2"/>
      <c r="Y59" s="2"/>
    </row>
    <row r="60" spans="1:25" ht="14.5" x14ac:dyDescent="0.35">
      <c r="A60" s="202" t="s">
        <v>281</v>
      </c>
      <c r="B60" s="92">
        <f>'Oversikt Variabler'!$B$26</f>
        <v>50</v>
      </c>
      <c r="C60" s="217"/>
      <c r="D60" s="217"/>
      <c r="E60" s="217"/>
      <c r="F60" s="66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"/>
      <c r="R60" s="2"/>
      <c r="S60" s="2"/>
      <c r="T60" s="2"/>
      <c r="U60" s="2"/>
      <c r="V60" s="2"/>
      <c r="W60" s="2"/>
      <c r="X60" s="2"/>
      <c r="Y60" s="2"/>
    </row>
    <row r="61" spans="1:25" ht="14.5" x14ac:dyDescent="0.35">
      <c r="A61" s="202" t="s">
        <v>298</v>
      </c>
      <c r="B61" s="203">
        <f>'Oversikt Variabler'!B38</f>
        <v>3551.7241379310344</v>
      </c>
      <c r="C61" s="217"/>
      <c r="D61" s="217"/>
      <c r="E61" s="217"/>
      <c r="F61" s="66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"/>
      <c r="R61" s="2"/>
      <c r="S61" s="2"/>
      <c r="T61" s="2"/>
      <c r="U61" s="2"/>
      <c r="V61" s="2"/>
      <c r="W61" s="2"/>
      <c r="X61" s="2"/>
      <c r="Y61" s="2"/>
    </row>
    <row r="62" spans="1:25" ht="14.5" x14ac:dyDescent="0.35">
      <c r="A62" s="202" t="s">
        <v>321</v>
      </c>
      <c r="B62" s="203">
        <f>'Oversikt Variabler'!B14*'Oversikt Variabler'!B4</f>
        <v>3465.41</v>
      </c>
      <c r="C62" s="217"/>
      <c r="D62" s="217"/>
      <c r="E62" s="217"/>
      <c r="F62" s="66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"/>
      <c r="R62" s="2"/>
      <c r="S62" s="2"/>
      <c r="T62" s="2"/>
      <c r="U62" s="2"/>
      <c r="V62" s="2"/>
      <c r="W62" s="2"/>
      <c r="X62" s="2"/>
      <c r="Y62" s="2"/>
    </row>
    <row r="63" spans="1:25" ht="14.5" x14ac:dyDescent="0.35">
      <c r="A63" s="202" t="s">
        <v>291</v>
      </c>
      <c r="B63" s="203">
        <f>'Oversikt Variabler'!$B$24*'Oversikt Variabler'!$B$4</f>
        <v>34.5</v>
      </c>
      <c r="C63" s="217"/>
      <c r="D63" s="217"/>
      <c r="E63" s="217"/>
      <c r="F63" s="66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"/>
      <c r="R63" s="2"/>
      <c r="S63" s="2"/>
      <c r="T63" s="2"/>
      <c r="U63" s="2"/>
      <c r="V63" s="2"/>
      <c r="W63" s="2"/>
      <c r="X63" s="2"/>
      <c r="Y63" s="2"/>
    </row>
    <row r="64" spans="1:25" ht="14.5" x14ac:dyDescent="0.35">
      <c r="A64" s="202" t="s">
        <v>292</v>
      </c>
      <c r="B64" s="203">
        <v>0</v>
      </c>
      <c r="C64" s="217"/>
      <c r="D64" s="217"/>
      <c r="E64" s="217"/>
      <c r="F64" s="66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"/>
      <c r="R64" s="2"/>
      <c r="S64" s="2"/>
      <c r="T64" s="2"/>
      <c r="U64" s="2"/>
      <c r="V64" s="2"/>
      <c r="W64" s="2"/>
      <c r="X64" s="2"/>
      <c r="Y64" s="2"/>
    </row>
    <row r="65" spans="1:25" ht="14.5" x14ac:dyDescent="0.35">
      <c r="A65" s="186" t="s">
        <v>293</v>
      </c>
      <c r="B65" s="186">
        <f>SUM(B58:B64)</f>
        <v>7826.1341379310343</v>
      </c>
      <c r="C65" s="217"/>
      <c r="D65" s="217"/>
      <c r="E65" s="217"/>
      <c r="F65" s="66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"/>
      <c r="R65" s="2"/>
      <c r="S65" s="2"/>
      <c r="T65" s="2"/>
      <c r="U65" s="2"/>
      <c r="V65" s="2"/>
      <c r="W65" s="2"/>
      <c r="X65" s="2"/>
      <c r="Y65" s="2"/>
    </row>
    <row r="66" spans="1:25" ht="14.5" x14ac:dyDescent="0.35">
      <c r="A66" s="202" t="s">
        <v>520</v>
      </c>
      <c r="B66" s="203">
        <v>-626</v>
      </c>
      <c r="C66" s="217"/>
      <c r="D66" s="217"/>
      <c r="E66" s="217"/>
      <c r="F66" s="66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"/>
      <c r="R66" s="2"/>
      <c r="S66" s="2"/>
      <c r="T66" s="2"/>
      <c r="U66" s="2"/>
      <c r="V66" s="2"/>
      <c r="W66" s="2"/>
      <c r="X66" s="2"/>
      <c r="Y66" s="2"/>
    </row>
    <row r="67" spans="1:25" ht="14.5" x14ac:dyDescent="0.35">
      <c r="A67" s="189" t="s">
        <v>294</v>
      </c>
      <c r="B67" s="189">
        <f>B65+B66</f>
        <v>7200.1341379310343</v>
      </c>
      <c r="C67" s="217"/>
      <c r="D67" s="217"/>
      <c r="E67" s="217"/>
      <c r="F67" s="66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"/>
      <c r="R67" s="2"/>
      <c r="S67" s="2"/>
      <c r="T67" s="2"/>
      <c r="U67" s="2"/>
      <c r="V67" s="2"/>
      <c r="W67" s="2"/>
      <c r="X67" s="2"/>
      <c r="Y67" s="2"/>
    </row>
    <row r="68" spans="1:25" ht="14.5" x14ac:dyDescent="0.35">
      <c r="A68" s="217"/>
      <c r="B68" s="217"/>
      <c r="C68" s="217"/>
      <c r="D68" s="217"/>
      <c r="E68" s="217"/>
      <c r="F68" s="66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"/>
      <c r="R68" s="2"/>
      <c r="S68" s="2"/>
      <c r="T68" s="2"/>
      <c r="U68" s="2"/>
      <c r="V68" s="2"/>
      <c r="W68" s="2"/>
      <c r="X68" s="2"/>
      <c r="Y68" s="2"/>
    </row>
    <row r="69" spans="1:25" ht="14.5" x14ac:dyDescent="0.35">
      <c r="A69" s="1" t="s">
        <v>184</v>
      </c>
      <c r="B69" s="4"/>
      <c r="C69" s="4"/>
      <c r="D69" s="4"/>
      <c r="E69" s="4"/>
      <c r="F69" s="69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"/>
      <c r="R69" s="2"/>
      <c r="S69" s="2"/>
      <c r="T69" s="2"/>
      <c r="U69" s="2"/>
      <c r="V69" s="2"/>
      <c r="W69" s="2"/>
      <c r="X69" s="2"/>
      <c r="Y69" s="2"/>
    </row>
    <row r="70" spans="1:25" ht="14.5" x14ac:dyDescent="0.35">
      <c r="A70" s="87" t="s">
        <v>277</v>
      </c>
      <c r="B70" s="136" t="s">
        <v>322</v>
      </c>
      <c r="C70" s="117" t="s">
        <v>323</v>
      </c>
      <c r="D70" s="32"/>
      <c r="E70" s="217"/>
      <c r="F70" s="66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"/>
      <c r="R70" s="2"/>
      <c r="S70" s="2"/>
      <c r="T70" s="2"/>
      <c r="U70" s="2"/>
      <c r="V70" s="2"/>
      <c r="W70" s="2"/>
      <c r="X70" s="2"/>
      <c r="Y70" s="2"/>
    </row>
    <row r="71" spans="1:25" ht="14.5" x14ac:dyDescent="0.35">
      <c r="A71" s="75" t="s">
        <v>138</v>
      </c>
      <c r="B71" s="92">
        <f>'Oversikt Variabler'!B25</f>
        <v>724.5</v>
      </c>
      <c r="C71" s="132">
        <f>'Oversikt Variabler'!B25</f>
        <v>724.5</v>
      </c>
      <c r="D71" s="32"/>
      <c r="E71" s="217"/>
      <c r="F71" s="66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"/>
      <c r="R71" s="2"/>
      <c r="S71" s="2"/>
      <c r="T71" s="2"/>
      <c r="U71" s="2"/>
      <c r="V71" s="2"/>
      <c r="W71" s="2"/>
      <c r="X71" s="2"/>
      <c r="Y71" s="2"/>
    </row>
    <row r="72" spans="1:25" ht="14.5" x14ac:dyDescent="0.35">
      <c r="A72" s="75" t="s">
        <v>281</v>
      </c>
      <c r="B72" s="92">
        <f>'Oversikt Variabler'!$B$26</f>
        <v>50</v>
      </c>
      <c r="C72" s="92">
        <f>'Oversikt Variabler'!$B$26</f>
        <v>50</v>
      </c>
      <c r="D72" s="32"/>
      <c r="E72" s="217"/>
      <c r="F72" s="66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"/>
      <c r="R72" s="2"/>
      <c r="S72" s="2"/>
      <c r="T72" s="2"/>
      <c r="U72" s="2"/>
      <c r="V72" s="2"/>
      <c r="W72" s="2"/>
      <c r="X72" s="2"/>
      <c r="Y72" s="2"/>
    </row>
    <row r="73" spans="1:25" ht="14.5" x14ac:dyDescent="0.35">
      <c r="A73" s="75" t="s">
        <v>298</v>
      </c>
      <c r="B73" s="92">
        <f>'Oversikt Variabler'!B37</f>
        <v>1800</v>
      </c>
      <c r="C73" s="132">
        <f>'Oversikt Variabler'!B37</f>
        <v>1800</v>
      </c>
      <c r="D73" s="32"/>
      <c r="E73" s="217"/>
      <c r="F73" s="66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"/>
      <c r="R73" s="2"/>
      <c r="S73" s="2"/>
      <c r="T73" s="2"/>
      <c r="U73" s="2"/>
      <c r="V73" s="2"/>
      <c r="W73" s="2"/>
      <c r="X73" s="2"/>
      <c r="Y73" s="2"/>
    </row>
    <row r="74" spans="1:25" ht="14.5" x14ac:dyDescent="0.35">
      <c r="A74" s="75" t="s">
        <v>245</v>
      </c>
      <c r="B74" s="92">
        <f>'Oversikt Variabler'!B4*'Oversikt Variabler'!B15</f>
        <v>1552.845</v>
      </c>
      <c r="C74" s="132">
        <f>'Oversikt Variabler'!B4*'Oversikt Variabler'!B16</f>
        <v>1967.42</v>
      </c>
      <c r="D74" s="32"/>
      <c r="E74" s="217"/>
      <c r="F74" s="66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"/>
      <c r="R74" s="2"/>
      <c r="S74" s="2"/>
      <c r="T74" s="2"/>
      <c r="U74" s="2"/>
      <c r="V74" s="2"/>
      <c r="W74" s="2"/>
      <c r="X74" s="2"/>
      <c r="Y74" s="2"/>
    </row>
    <row r="75" spans="1:25" ht="14.5" x14ac:dyDescent="0.35">
      <c r="A75" s="75" t="s">
        <v>292</v>
      </c>
      <c r="B75" s="92">
        <v>0</v>
      </c>
      <c r="C75" s="132">
        <v>0</v>
      </c>
      <c r="D75" s="32"/>
      <c r="E75" s="217"/>
      <c r="F75" s="66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"/>
      <c r="R75" s="2"/>
      <c r="S75" s="2"/>
      <c r="T75" s="2"/>
      <c r="U75" s="2"/>
      <c r="V75" s="2"/>
      <c r="W75" s="2"/>
      <c r="X75" s="2"/>
      <c r="Y75" s="2"/>
    </row>
    <row r="76" spans="1:25" ht="14.5" x14ac:dyDescent="0.35">
      <c r="A76" s="186" t="s">
        <v>293</v>
      </c>
      <c r="B76" s="186">
        <f t="shared" ref="B76:C76" si="7">SUM(B70:B75)</f>
        <v>4127.3450000000003</v>
      </c>
      <c r="C76" s="186">
        <f t="shared" si="7"/>
        <v>4541.92</v>
      </c>
      <c r="D76" s="32"/>
      <c r="E76" s="217"/>
      <c r="F76" s="66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"/>
      <c r="R76" s="2"/>
      <c r="S76" s="2"/>
      <c r="T76" s="2"/>
      <c r="U76" s="2"/>
      <c r="V76" s="2"/>
      <c r="W76" s="2"/>
      <c r="X76" s="2"/>
      <c r="Y76" s="2"/>
    </row>
    <row r="77" spans="1:25" ht="14.5" x14ac:dyDescent="0.35">
      <c r="A77" s="75" t="s">
        <v>310</v>
      </c>
      <c r="B77" s="92">
        <v>-327</v>
      </c>
      <c r="C77" s="132">
        <v>-342</v>
      </c>
      <c r="D77" s="32"/>
      <c r="E77" s="217"/>
      <c r="F77" s="66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"/>
      <c r="R77" s="2"/>
      <c r="S77" s="2"/>
      <c r="T77" s="2"/>
      <c r="U77" s="2"/>
      <c r="V77" s="2"/>
      <c r="W77" s="2"/>
      <c r="X77" s="2"/>
      <c r="Y77" s="2"/>
    </row>
    <row r="78" spans="1:25" ht="14.5" x14ac:dyDescent="0.35">
      <c r="A78" s="188" t="s">
        <v>294</v>
      </c>
      <c r="B78" s="188">
        <f t="shared" ref="B78:C78" si="8">SUM(B76:B77)</f>
        <v>3800.3450000000003</v>
      </c>
      <c r="C78" s="188">
        <f t="shared" si="8"/>
        <v>4199.92</v>
      </c>
      <c r="D78" s="217"/>
      <c r="E78" s="217"/>
      <c r="F78" s="66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"/>
      <c r="R78" s="2"/>
      <c r="S78" s="2"/>
      <c r="T78" s="2"/>
      <c r="U78" s="2"/>
      <c r="V78" s="2"/>
      <c r="W78" s="2"/>
      <c r="X78" s="2"/>
      <c r="Y78" s="2"/>
    </row>
    <row r="79" spans="1:25" ht="14.5" x14ac:dyDescent="0.35">
      <c r="A79" s="217"/>
      <c r="B79" s="217"/>
      <c r="C79" s="217"/>
      <c r="D79" s="217"/>
      <c r="E79" s="217"/>
      <c r="F79" s="66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"/>
      <c r="R79" s="2"/>
      <c r="S79" s="2"/>
      <c r="T79" s="2"/>
      <c r="U79" s="2"/>
      <c r="V79" s="2"/>
      <c r="W79" s="2"/>
      <c r="X79" s="2"/>
      <c r="Y79" s="2"/>
    </row>
    <row r="80" spans="1:25" ht="14.5" x14ac:dyDescent="0.35">
      <c r="A80" s="4"/>
      <c r="B80" s="4"/>
      <c r="C80" s="4"/>
      <c r="D80" s="4"/>
      <c r="E80" s="4"/>
      <c r="F80" s="69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"/>
      <c r="R80" s="2"/>
      <c r="S80" s="2"/>
      <c r="T80" s="2"/>
      <c r="U80" s="2"/>
      <c r="V80" s="2"/>
      <c r="W80" s="2"/>
      <c r="X80" s="2"/>
      <c r="Y80" s="2"/>
    </row>
    <row r="81" spans="1:25" ht="14.5" x14ac:dyDescent="0.35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"/>
      <c r="R81" s="2"/>
      <c r="S81" s="2"/>
      <c r="T81" s="2"/>
      <c r="U81" s="2"/>
      <c r="V81" s="2"/>
      <c r="W81" s="2"/>
      <c r="X81" s="2"/>
      <c r="Y81" s="2"/>
    </row>
    <row r="82" spans="1:25" ht="14.5" x14ac:dyDescent="0.35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"/>
      <c r="R82" s="2"/>
      <c r="S82" s="2"/>
      <c r="T82" s="2"/>
      <c r="U82" s="2"/>
      <c r="V82" s="2"/>
      <c r="W82" s="2"/>
      <c r="X82" s="2"/>
      <c r="Y82" s="2"/>
    </row>
    <row r="83" spans="1:25" ht="14.5" x14ac:dyDescent="0.35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"/>
      <c r="R83" s="2"/>
      <c r="S83" s="2"/>
      <c r="T83" s="2"/>
      <c r="U83" s="2"/>
      <c r="V83" s="2"/>
      <c r="W83" s="2"/>
      <c r="X83" s="2"/>
      <c r="Y83" s="2"/>
    </row>
    <row r="84" spans="1:25" ht="14.5" x14ac:dyDescent="0.35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 x14ac:dyDescent="0.35">
      <c r="A85" s="217"/>
      <c r="B85" s="98"/>
      <c r="C85" s="98"/>
      <c r="D85" s="217"/>
      <c r="E85" s="217"/>
      <c r="F85" s="101"/>
      <c r="G85" s="104"/>
      <c r="H85" s="217"/>
      <c r="I85" s="217"/>
      <c r="J85" s="217"/>
      <c r="K85" s="217"/>
      <c r="L85" s="217"/>
      <c r="M85" s="217"/>
      <c r="N85" s="217"/>
      <c r="O85" s="217"/>
      <c r="P85" s="217"/>
      <c r="Q85" s="2"/>
      <c r="R85" s="2"/>
      <c r="S85" s="2"/>
      <c r="T85" s="2"/>
      <c r="U85" s="2"/>
      <c r="V85" s="2"/>
      <c r="W85" s="2"/>
      <c r="X85" s="2"/>
      <c r="Y85" s="2"/>
    </row>
    <row r="86" spans="1:25" ht="14.5" x14ac:dyDescent="0.35">
      <c r="A86" s="217"/>
      <c r="B86" s="98"/>
      <c r="C86" s="98"/>
      <c r="D86" s="217"/>
      <c r="E86" s="217"/>
      <c r="F86" s="101"/>
      <c r="G86" s="104"/>
      <c r="H86" s="217"/>
      <c r="I86" s="217"/>
      <c r="J86" s="217"/>
      <c r="K86" s="217"/>
      <c r="L86" s="217"/>
      <c r="M86" s="217"/>
      <c r="N86" s="217"/>
      <c r="O86" s="217"/>
      <c r="P86" s="217"/>
      <c r="Q86" s="2"/>
      <c r="R86" s="2"/>
      <c r="S86" s="2"/>
      <c r="T86" s="2"/>
      <c r="U86" s="2"/>
      <c r="V86" s="2"/>
      <c r="W86" s="2"/>
      <c r="X86" s="2"/>
      <c r="Y86" s="2"/>
    </row>
    <row r="87" spans="1:25" ht="14.5" x14ac:dyDescent="0.35">
      <c r="A87" s="14"/>
      <c r="B87" s="98"/>
      <c r="C87" s="98"/>
      <c r="D87" s="217"/>
      <c r="E87" s="14"/>
      <c r="F87" s="98"/>
      <c r="G87" s="99"/>
      <c r="H87" s="2"/>
      <c r="I87" s="2"/>
      <c r="J87" s="2"/>
      <c r="K87" s="2"/>
      <c r="L87" s="2"/>
      <c r="M87" s="2"/>
      <c r="N87" s="217"/>
      <c r="O87" s="2"/>
      <c r="P87" s="217"/>
      <c r="Q87" s="2"/>
      <c r="R87" s="2"/>
      <c r="S87" s="2"/>
      <c r="T87" s="2"/>
      <c r="U87" s="2"/>
      <c r="V87" s="2"/>
      <c r="W87" s="2"/>
      <c r="X87" s="2"/>
      <c r="Y87" s="2"/>
    </row>
    <row r="88" spans="1:25" ht="14.5" x14ac:dyDescent="0.35">
      <c r="A88" s="217"/>
      <c r="B88" s="98"/>
      <c r="C88" s="98"/>
      <c r="D88" s="217"/>
      <c r="E88" s="217"/>
      <c r="F88" s="101"/>
      <c r="G88" s="10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4.5" x14ac:dyDescent="0.35">
      <c r="A89" s="217"/>
      <c r="B89" s="98"/>
      <c r="C89" s="98"/>
      <c r="D89" s="217"/>
      <c r="E89" s="217"/>
      <c r="F89" s="101"/>
      <c r="G89" s="10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4.5" x14ac:dyDescent="0.35">
      <c r="A90" s="217"/>
      <c r="B90" s="98"/>
      <c r="C90" s="98"/>
      <c r="D90" s="217"/>
      <c r="E90" s="217"/>
      <c r="F90" s="101"/>
      <c r="G90" s="10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4.5" x14ac:dyDescent="0.35">
      <c r="A91" s="217"/>
      <c r="B91" s="98"/>
      <c r="C91" s="98"/>
      <c r="D91" s="217"/>
      <c r="E91" s="217"/>
      <c r="F91" s="101"/>
      <c r="G91" s="10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4.5" x14ac:dyDescent="0.35">
      <c r="A92" s="217"/>
      <c r="B92" s="124"/>
      <c r="C92" s="98"/>
      <c r="D92" s="217"/>
      <c r="E92" s="217"/>
      <c r="F92" s="101"/>
      <c r="G92" s="10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4.5" x14ac:dyDescent="0.35">
      <c r="A93" s="217"/>
      <c r="B93" s="124"/>
      <c r="C93" s="98"/>
      <c r="D93" s="217"/>
      <c r="E93" s="217"/>
      <c r="F93" s="101"/>
      <c r="G93" s="10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4.5" x14ac:dyDescent="0.35">
      <c r="A94" s="217"/>
      <c r="B94" s="98"/>
      <c r="C94" s="98"/>
      <c r="D94" s="217"/>
      <c r="E94" s="217"/>
      <c r="F94" s="98"/>
      <c r="G94" s="99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5" x14ac:dyDescent="0.35">
      <c r="A95" s="14"/>
      <c r="B95" s="98"/>
      <c r="C95" s="98"/>
      <c r="D95" s="217"/>
      <c r="E95" s="14"/>
      <c r="F95" s="98"/>
      <c r="G95" s="99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5" x14ac:dyDescent="0.35">
      <c r="A96" s="217"/>
      <c r="B96" s="98"/>
      <c r="C96" s="98"/>
      <c r="D96" s="217"/>
      <c r="E96" s="217"/>
      <c r="F96" s="101"/>
      <c r="G96" s="10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5" x14ac:dyDescent="0.35">
      <c r="A97" s="217"/>
      <c r="B97" s="98"/>
      <c r="C97" s="98"/>
      <c r="D97" s="217"/>
      <c r="E97" s="217"/>
      <c r="F97" s="101"/>
      <c r="G97" s="10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5" x14ac:dyDescent="0.35">
      <c r="A98" s="217"/>
      <c r="B98" s="98"/>
      <c r="C98" s="98"/>
      <c r="D98" s="217"/>
      <c r="E98" s="217"/>
      <c r="F98" s="101"/>
      <c r="G98" s="10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5" x14ac:dyDescent="0.35">
      <c r="A99" s="217"/>
      <c r="B99" s="98"/>
      <c r="C99" s="98"/>
      <c r="D99" s="217"/>
      <c r="E99" s="217"/>
      <c r="F99" s="101"/>
      <c r="G99" s="10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5" x14ac:dyDescent="0.35">
      <c r="A100" s="217"/>
      <c r="B100" s="98"/>
      <c r="C100" s="98"/>
      <c r="D100" s="217"/>
      <c r="E100" s="217"/>
      <c r="F100" s="98"/>
      <c r="G100" s="99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5" x14ac:dyDescent="0.35">
      <c r="A101" s="14"/>
      <c r="B101" s="98"/>
      <c r="C101" s="98"/>
      <c r="D101" s="217"/>
      <c r="E101" s="14"/>
      <c r="F101" s="98"/>
      <c r="G101" s="98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5" x14ac:dyDescent="0.35">
      <c r="A102" s="217"/>
      <c r="B102" s="98"/>
      <c r="C102" s="98"/>
      <c r="D102" s="217"/>
      <c r="E102" s="217"/>
      <c r="F102" s="101"/>
      <c r="G102" s="10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5" x14ac:dyDescent="0.35">
      <c r="A103" s="217"/>
      <c r="B103" s="98"/>
      <c r="C103" s="98"/>
      <c r="D103" s="217"/>
      <c r="E103" s="217"/>
      <c r="F103" s="98"/>
      <c r="G103" s="98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5" x14ac:dyDescent="0.35">
      <c r="A104" s="14"/>
      <c r="B104" s="98"/>
      <c r="C104" s="98"/>
      <c r="D104" s="217"/>
      <c r="E104" s="14"/>
      <c r="F104" s="98"/>
      <c r="G104" s="98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5" x14ac:dyDescent="0.35">
      <c r="A105" s="217"/>
      <c r="B105" s="98"/>
      <c r="C105" s="98"/>
      <c r="D105" s="217"/>
      <c r="E105" s="217"/>
      <c r="F105" s="101"/>
      <c r="G105" s="10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5" x14ac:dyDescent="0.35">
      <c r="A106" s="217"/>
      <c r="B106" s="98"/>
      <c r="C106" s="98"/>
      <c r="D106" s="217"/>
      <c r="E106" s="217"/>
      <c r="F106" s="101"/>
      <c r="G106" s="10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5" x14ac:dyDescent="0.35">
      <c r="A107" s="217"/>
      <c r="B107" s="98"/>
      <c r="C107" s="98"/>
      <c r="D107" s="217"/>
      <c r="E107" s="217"/>
      <c r="F107" s="101"/>
      <c r="G107" s="10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5" x14ac:dyDescent="0.35">
      <c r="A108" s="217"/>
      <c r="B108" s="98"/>
      <c r="C108" s="98"/>
      <c r="D108" s="217"/>
      <c r="E108" s="217"/>
      <c r="F108" s="101"/>
      <c r="G108" s="10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5" x14ac:dyDescent="0.35">
      <c r="A109" s="217"/>
      <c r="B109" s="124"/>
      <c r="C109" s="98"/>
      <c r="D109" s="217"/>
      <c r="E109" s="217"/>
      <c r="F109" s="124"/>
      <c r="G109" s="10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5" x14ac:dyDescent="0.35">
      <c r="A110" s="217"/>
      <c r="B110" s="98"/>
      <c r="C110" s="98"/>
      <c r="D110" s="217"/>
      <c r="E110" s="217"/>
      <c r="F110" s="101"/>
      <c r="G110" s="10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5" x14ac:dyDescent="0.35">
      <c r="A111" s="217"/>
      <c r="B111" s="98"/>
      <c r="C111" s="98"/>
      <c r="D111" s="217"/>
      <c r="E111" s="217"/>
      <c r="F111" s="98"/>
      <c r="G111" s="98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5" x14ac:dyDescent="0.35">
      <c r="A112" s="14"/>
      <c r="B112" s="124"/>
      <c r="C112" s="98"/>
      <c r="D112" s="217"/>
      <c r="E112" s="14"/>
      <c r="F112" s="98"/>
      <c r="G112" s="98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5" x14ac:dyDescent="0.35">
      <c r="A113" s="217"/>
      <c r="B113" s="98"/>
      <c r="C113" s="98"/>
      <c r="D113" s="217"/>
      <c r="E113" s="217"/>
      <c r="F113" s="101"/>
      <c r="G113" s="10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5" x14ac:dyDescent="0.35">
      <c r="A114" s="217"/>
      <c r="B114" s="98"/>
      <c r="C114" s="98"/>
      <c r="D114" s="217"/>
      <c r="E114" s="217"/>
      <c r="F114" s="101"/>
      <c r="G114" s="98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5" x14ac:dyDescent="0.35">
      <c r="A115" s="14"/>
      <c r="B115" s="124"/>
      <c r="C115" s="98"/>
      <c r="D115" s="217"/>
      <c r="E115" s="14"/>
      <c r="F115" s="124"/>
      <c r="G115" s="98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5" x14ac:dyDescent="0.35">
      <c r="A116" s="217"/>
      <c r="B116" s="124"/>
      <c r="C116" s="101"/>
      <c r="D116" s="217"/>
      <c r="E116" s="217"/>
      <c r="F116" s="124"/>
      <c r="G116" s="10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5" x14ac:dyDescent="0.35">
      <c r="A117" s="217"/>
      <c r="B117" s="101"/>
      <c r="C117" s="101"/>
      <c r="D117" s="217"/>
      <c r="E117" s="217"/>
      <c r="F117" s="101"/>
      <c r="G117" s="10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5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5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5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5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5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5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5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5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5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5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5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5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5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5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5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5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5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5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5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5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5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5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5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5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5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5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5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5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5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5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5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5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5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5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5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5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5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5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5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5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5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5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5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5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5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5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5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5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5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5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5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5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5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5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5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5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5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5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5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5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5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5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5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5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5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5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5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5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5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5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5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5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5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5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5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5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5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5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5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5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5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5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5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5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5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5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5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5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5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5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5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5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5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5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5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5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5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5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5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5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5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5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5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5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5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5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5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5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5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5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5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5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5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5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5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5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5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5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5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5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5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5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5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5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5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5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5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5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5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5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5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5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5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5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5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5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4.5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4.5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4.5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4.5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4.5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4.5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4.5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4.5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4.5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4.5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4.5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4.5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4.5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4.5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4.5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4.5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4.5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4.5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4.5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4.5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4.5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4.5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4.5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4.5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4.5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4.5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4.5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4.5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4.5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4.5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4.5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4.5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4.5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4.5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4.5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4.5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4.5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4.5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4.5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4.5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4.5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4.5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4.5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4.5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4.5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4.5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4.5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4.5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4.5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4.5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4.5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4.5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4.5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4.5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4.5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4.5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4.5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4.5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4.5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4.5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4.5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4.5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4.5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4.5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4.5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4.5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4.5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4.5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4.5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4.5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4.5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4.5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4.5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4.5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4.5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4.5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4.5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4.5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4.5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4.5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4.5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4.5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4.5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4.5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4.5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4.5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4.5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4.5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4.5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4.5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4.5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4.5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4.5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4.5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4.5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4.5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4.5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4.5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4.5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4.5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4.5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4.5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4.5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4.5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4.5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4.5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4.5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4.5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4.5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4.5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4.5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4.5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4.5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4.5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4.5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4.5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4.5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4.5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4.5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4.5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4.5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4.5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4.5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4.5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4.5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4.5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4.5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4.5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4.5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4.5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4.5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4.5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4.5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4.5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4.5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4.5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4.5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4.5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4.5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4.5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4.5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4.5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4.5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4.5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4.5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4.5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4.5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4.5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4.5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4.5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4.5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4.5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4.5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4.5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4.5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4.5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4.5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4.5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4.5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4.5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4.5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4.5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4.5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4.5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4.5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4.5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4.5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4.5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4.5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4.5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4.5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4.5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4.5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4.5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4.5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4.5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4.5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4.5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4.5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4.5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4.5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4.5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4.5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4.5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4.5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4.5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4.5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4.5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4.5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4.5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4.5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4.5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4.5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4.5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4.5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4.5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4.5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4.5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4.5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4.5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4.5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4.5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4.5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4.5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4.5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4.5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4.5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4.5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4.5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4.5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4.5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4.5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4.5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4.5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4.5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4.5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4.5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4.5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4.5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4.5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4.5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4.5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4.5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4.5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4.5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4.5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4.5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4.5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4.5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4.5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4.5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4.5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4.5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4.5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4.5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4.5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4.5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4.5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4.5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4.5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4.5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4.5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4.5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4.5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4.5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4.5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4.5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4.5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4.5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4.5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4.5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4.5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4.5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4.5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4.5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4.5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4.5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4.5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4.5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4.5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4.5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4.5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4.5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4.5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4.5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4.5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4.5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4.5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4.5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4.5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4.5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4.5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4.5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4.5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4.5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4.5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4.5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4.5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4.5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4.5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4.5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4.5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4.5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4.5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4.5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4.5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4.5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4.5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4.5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4.5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4.5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4.5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4.5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4.5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4.5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4.5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4.5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4.5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4.5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4.5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4.5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4.5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4.5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4.5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4.5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4.5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4.5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4.5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4.5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4.5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4.5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4.5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4.5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4.5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4.5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4.5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4.5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4.5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4.5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4.5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4.5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4.5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4.5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4.5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4.5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4.5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4.5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4.5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4.5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4.5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4.5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4.5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4.5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4.5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4.5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4.5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4.5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4.5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4.5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4.5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4.5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4.5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4.5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4.5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4.5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4.5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4.5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4.5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4.5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4.5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4.5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4.5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4.5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4.5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4.5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4.5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4.5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4.5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4.5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4.5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4.5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4.5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4.5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4.5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4.5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4.5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4.5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4.5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4.5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4.5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4.5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4.5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4.5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4.5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4.5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4.5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4.5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4.5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4.5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4.5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4.5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4.5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4.5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4.5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4.5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4.5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4.5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4.5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4.5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4.5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4.5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4.5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4.5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4.5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4.5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4.5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4.5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4.5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4.5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4.5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4.5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4.5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4.5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4.5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4.5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4.5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4.5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4.5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4.5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4.5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4.5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4.5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4.5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4.5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4.5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4.5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4.5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4.5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4.5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4.5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4.5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4.5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4.5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4.5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4.5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4.5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4.5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4.5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4.5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4.5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4.5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4.5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4.5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4.5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4.5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4.5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4.5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4.5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4.5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4.5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4.5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4.5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4.5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4.5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4.5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4.5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4.5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4.5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4.5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4.5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4.5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4.5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4.5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4.5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4.5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4.5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4.5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4.5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4.5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4.5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4.5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4.5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4.5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4.5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4.5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4.5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4.5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4.5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4.5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4.5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4.5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4.5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4.5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4.5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4.5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4.5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4.5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4.5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4.5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4.5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4.5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4.5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4.5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4.5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4.5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4.5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4.5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4.5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4.5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4.5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4.5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4.5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4.5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4.5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4.5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4.5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4.5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4.5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4.5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4.5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4.5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4.5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4.5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4.5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4.5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4.5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4.5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4.5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4.5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4.5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4.5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4.5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4.5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4.5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4.5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4.5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4.5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4.5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4.5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4.5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4.5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4.5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4.5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4.5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4.5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4.5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4.5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4.5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4.5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4.5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4.5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4.5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4.5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4.5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4.5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4.5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4.5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4.5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4.5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4.5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4.5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4.5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4.5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4.5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4.5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4.5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4.5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4.5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4.5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4.5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4.5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4.5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4.5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4.5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4.5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4.5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4.5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4.5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4.5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4.5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4.5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4.5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ht="14.5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ht="14.5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ht="14.5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</sheetData>
  <customSheetViews>
    <customSheetView guid="{106B7A88-9D1E-4D22-9DE1-7E44A908E830}" scale="80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1"/>
    </customSheetView>
    <customSheetView guid="{CF50DB9B-0F8D-41A5-9576-F9345942CE97}" scale="120" showGridLines="0" topLeftCell="A39">
      <selection activeCell="C64" sqref="C64"/>
      <pageMargins left="0.7" right="0.7" top="0.75" bottom="0.75" header="0.3" footer="0.3"/>
      <pageSetup paperSize="9" orientation="portrait" r:id="rId2"/>
    </customSheetView>
    <customSheetView guid="{B8CD8764-8103-4BA7-A294-F5FED5EA74ED}" scale="120" showGridLines="0">
      <selection activeCell="A17" sqref="A17"/>
      <pageMargins left="0.7" right="0.7" top="0.75" bottom="0.75" header="0.3" footer="0.3"/>
      <pageSetup paperSize="9" orientation="portrait" r:id="rId3"/>
    </customSheetView>
    <customSheetView guid="{845F3A43-EF96-4057-9777-D2F2301CC149}" scale="80" showPageBreaks="1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4"/>
    </customSheetView>
  </customSheetViews>
  <pageMargins left="0.7" right="0.7" top="0.75" bottom="0.75" header="0.3" footer="0.3"/>
  <pageSetup paperSize="9" scale="41" fitToHeight="0" orientation="landscape" r:id="rId5"/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986"/>
  <sheetViews>
    <sheetView showGridLines="0" workbookViewId="0">
      <selection activeCell="B9" sqref="B9"/>
    </sheetView>
  </sheetViews>
  <sheetFormatPr baseColWidth="10" defaultColWidth="17.26953125" defaultRowHeight="15" customHeight="1" x14ac:dyDescent="0.25"/>
  <cols>
    <col min="1" max="1" width="34" bestFit="1" customWidth="1"/>
    <col min="2" max="2" width="15" customWidth="1"/>
    <col min="3" max="3" width="17.26953125" bestFit="1" customWidth="1"/>
    <col min="4" max="4" width="15" customWidth="1"/>
    <col min="5" max="5" width="14" bestFit="1" customWidth="1"/>
    <col min="6" max="6" width="15.7265625" bestFit="1" customWidth="1"/>
    <col min="7" max="7" width="13.453125" customWidth="1"/>
    <col min="8" max="8" width="10.1796875" customWidth="1"/>
    <col min="9" max="9" width="11.54296875" customWidth="1"/>
    <col min="10" max="10" width="10.453125" customWidth="1"/>
    <col min="11" max="21" width="12.54296875" customWidth="1"/>
    <col min="22" max="24" width="10" customWidth="1"/>
  </cols>
  <sheetData>
    <row r="1" spans="1:24" ht="15" customHeight="1" x14ac:dyDescent="0.35">
      <c r="A1" s="4"/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4" ht="15" customHeight="1" x14ac:dyDescent="0.35">
      <c r="A2" s="42" t="s">
        <v>95</v>
      </c>
      <c r="B2" s="188" t="s">
        <v>415</v>
      </c>
      <c r="C2" s="188" t="s">
        <v>721</v>
      </c>
      <c r="D2" s="188" t="s">
        <v>411</v>
      </c>
      <c r="E2" s="188" t="s">
        <v>86</v>
      </c>
      <c r="F2" s="188" t="s">
        <v>622</v>
      </c>
      <c r="G2" s="188" t="s">
        <v>722</v>
      </c>
      <c r="H2" s="188" t="s">
        <v>621</v>
      </c>
      <c r="I2" s="188" t="s">
        <v>723</v>
      </c>
      <c r="J2" s="188" t="s">
        <v>724</v>
      </c>
      <c r="K2" s="631" t="s">
        <v>240</v>
      </c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4" ht="15" customHeight="1" x14ac:dyDescent="0.35">
      <c r="A3" s="32" t="s">
        <v>416</v>
      </c>
      <c r="B3" s="359">
        <v>6000</v>
      </c>
      <c r="C3" s="359">
        <v>14000</v>
      </c>
      <c r="D3" s="359">
        <v>9000</v>
      </c>
      <c r="E3" s="359">
        <v>20000</v>
      </c>
      <c r="F3" s="359">
        <v>1500</v>
      </c>
      <c r="G3" s="359">
        <v>10000</v>
      </c>
      <c r="H3" s="359">
        <v>4500</v>
      </c>
      <c r="I3" s="186"/>
      <c r="J3" s="186"/>
      <c r="K3" s="209">
        <f t="shared" ref="K3:K12" si="0">SUM(B3:J3)</f>
        <v>65000</v>
      </c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</row>
    <row r="4" spans="1:24" ht="15" customHeight="1" x14ac:dyDescent="0.35">
      <c r="A4" s="32" t="s">
        <v>232</v>
      </c>
      <c r="B4" s="359">
        <v>7500</v>
      </c>
      <c r="C4" s="359">
        <v>14000</v>
      </c>
      <c r="D4" s="359">
        <v>9000</v>
      </c>
      <c r="E4" s="359">
        <v>20000</v>
      </c>
      <c r="F4" s="359">
        <v>4500</v>
      </c>
      <c r="G4" s="359">
        <v>10000</v>
      </c>
      <c r="H4" s="359">
        <v>4500</v>
      </c>
      <c r="I4" s="186"/>
      <c r="J4" s="186"/>
      <c r="K4" s="209">
        <f t="shared" si="0"/>
        <v>69500</v>
      </c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</row>
    <row r="5" spans="1:24" ht="15" customHeight="1" x14ac:dyDescent="0.35">
      <c r="A5" s="32" t="s">
        <v>417</v>
      </c>
      <c r="B5" s="359">
        <v>0</v>
      </c>
      <c r="C5" s="359">
        <v>20000</v>
      </c>
      <c r="D5" s="359"/>
      <c r="E5" s="359"/>
      <c r="F5" s="359"/>
      <c r="G5" s="359"/>
      <c r="H5" s="359"/>
      <c r="I5" s="186"/>
      <c r="J5" s="186"/>
      <c r="K5" s="209">
        <f t="shared" si="0"/>
        <v>20000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</row>
    <row r="6" spans="1:24" ht="15" customHeight="1" x14ac:dyDescent="0.35">
      <c r="A6" s="32" t="s">
        <v>418</v>
      </c>
      <c r="B6" s="359">
        <v>0</v>
      </c>
      <c r="C6" s="359"/>
      <c r="D6" s="359"/>
      <c r="E6" s="359"/>
      <c r="F6" s="359"/>
      <c r="G6" s="359"/>
      <c r="H6" s="359"/>
      <c r="I6" s="186"/>
      <c r="J6" s="186"/>
      <c r="K6" s="209">
        <f t="shared" si="0"/>
        <v>0</v>
      </c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</row>
    <row r="7" spans="1:24" ht="15" customHeight="1" x14ac:dyDescent="0.35">
      <c r="A7" s="32" t="s">
        <v>419</v>
      </c>
      <c r="B7" s="359">
        <v>0</v>
      </c>
      <c r="C7" s="359"/>
      <c r="D7" s="359"/>
      <c r="E7" s="359"/>
      <c r="F7" s="359"/>
      <c r="G7" s="359"/>
      <c r="H7" s="359"/>
      <c r="I7" s="186"/>
      <c r="J7" s="186"/>
      <c r="K7" s="209">
        <f t="shared" si="0"/>
        <v>0</v>
      </c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</row>
    <row r="8" spans="1:24" ht="15" customHeight="1" x14ac:dyDescent="0.35">
      <c r="A8" s="32" t="s">
        <v>420</v>
      </c>
      <c r="B8" s="359">
        <f>25000*0.4</f>
        <v>10000</v>
      </c>
      <c r="C8" s="359">
        <v>13500</v>
      </c>
      <c r="D8" s="359"/>
      <c r="E8" s="359"/>
      <c r="F8" s="359"/>
      <c r="G8" s="359">
        <v>10000</v>
      </c>
      <c r="H8" s="359">
        <f>20000+12000</f>
        <v>32000</v>
      </c>
      <c r="I8" s="186"/>
      <c r="J8" s="186"/>
      <c r="K8" s="209">
        <f t="shared" si="0"/>
        <v>65500</v>
      </c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</row>
    <row r="9" spans="1:24" ht="15" customHeight="1" x14ac:dyDescent="0.35">
      <c r="A9" s="32" t="s">
        <v>421</v>
      </c>
      <c r="B9" s="359">
        <v>0</v>
      </c>
      <c r="C9" s="359"/>
      <c r="D9" s="359"/>
      <c r="E9" s="359"/>
      <c r="F9" s="359"/>
      <c r="G9" s="359"/>
      <c r="H9" s="359"/>
      <c r="I9" s="186"/>
      <c r="J9" s="186"/>
      <c r="K9" s="209">
        <f t="shared" si="0"/>
        <v>0</v>
      </c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</row>
    <row r="10" spans="1:24" ht="15" customHeight="1" x14ac:dyDescent="0.35">
      <c r="A10" s="214" t="s">
        <v>430</v>
      </c>
      <c r="B10" s="359">
        <v>3000</v>
      </c>
      <c r="C10" s="359">
        <v>2500</v>
      </c>
      <c r="D10" s="359">
        <v>1500</v>
      </c>
      <c r="E10" s="359">
        <v>14000</v>
      </c>
      <c r="F10" s="359">
        <v>1500</v>
      </c>
      <c r="G10" s="359">
        <v>2500</v>
      </c>
      <c r="H10" s="359">
        <v>1500</v>
      </c>
      <c r="I10" s="186">
        <v>1500</v>
      </c>
      <c r="J10" s="186">
        <v>1500</v>
      </c>
      <c r="K10" s="215">
        <f t="shared" si="0"/>
        <v>29500</v>
      </c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</row>
    <row r="11" spans="1:24" ht="14.5" x14ac:dyDescent="0.35">
      <c r="A11" s="214" t="s">
        <v>431</v>
      </c>
      <c r="B11" s="359">
        <v>6000</v>
      </c>
      <c r="C11" s="359">
        <v>14000</v>
      </c>
      <c r="D11" s="359">
        <v>9000</v>
      </c>
      <c r="E11" s="359">
        <v>20000</v>
      </c>
      <c r="F11" s="359">
        <v>3000</v>
      </c>
      <c r="G11" s="359">
        <v>12500</v>
      </c>
      <c r="H11" s="359">
        <v>4500</v>
      </c>
      <c r="I11" s="186"/>
      <c r="J11" s="186"/>
      <c r="K11" s="215">
        <f t="shared" si="0"/>
        <v>69000</v>
      </c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</row>
    <row r="12" spans="1:24" ht="14.5" x14ac:dyDescent="0.35">
      <c r="A12" s="211" t="s">
        <v>240</v>
      </c>
      <c r="B12" s="212">
        <f t="shared" ref="B12:J12" si="1">SUM(B3:B11)</f>
        <v>32500</v>
      </c>
      <c r="C12" s="212">
        <f t="shared" si="1"/>
        <v>78000</v>
      </c>
      <c r="D12" s="212">
        <f t="shared" si="1"/>
        <v>28500</v>
      </c>
      <c r="E12" s="212">
        <f t="shared" si="1"/>
        <v>74000</v>
      </c>
      <c r="F12" s="212">
        <f t="shared" si="1"/>
        <v>10500</v>
      </c>
      <c r="G12" s="212">
        <f t="shared" si="1"/>
        <v>45000</v>
      </c>
      <c r="H12" s="212">
        <f t="shared" si="1"/>
        <v>47000</v>
      </c>
      <c r="I12" s="212">
        <f t="shared" si="1"/>
        <v>1500</v>
      </c>
      <c r="J12" s="212">
        <f t="shared" si="1"/>
        <v>1500</v>
      </c>
      <c r="K12" s="213">
        <f t="shared" si="0"/>
        <v>318500</v>
      </c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</row>
    <row r="13" spans="1:24" ht="14.5" x14ac:dyDescent="0.35">
      <c r="A13" s="217"/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</row>
    <row r="14" spans="1:24" ht="14.5" x14ac:dyDescent="0.35">
      <c r="A14" s="1" t="s">
        <v>725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</row>
    <row r="15" spans="1:24" ht="14.5" x14ac:dyDescent="0.35">
      <c r="A15" s="42" t="s">
        <v>95</v>
      </c>
      <c r="B15" s="210" t="s">
        <v>189</v>
      </c>
      <c r="C15" s="210" t="s">
        <v>183</v>
      </c>
      <c r="D15" s="210" t="s">
        <v>296</v>
      </c>
      <c r="E15" s="210" t="s">
        <v>185</v>
      </c>
      <c r="F15" s="210" t="s">
        <v>186</v>
      </c>
      <c r="G15" s="210"/>
      <c r="H15" s="210"/>
      <c r="I15" s="210"/>
      <c r="J15" s="210"/>
      <c r="K15" s="71" t="s">
        <v>240</v>
      </c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</row>
    <row r="16" spans="1:24" ht="14.5" x14ac:dyDescent="0.35">
      <c r="A16" s="32" t="s">
        <v>421</v>
      </c>
      <c r="B16" s="186"/>
      <c r="C16" s="186"/>
      <c r="D16" s="186"/>
      <c r="E16" s="186"/>
      <c r="F16" s="186"/>
      <c r="G16" s="186"/>
      <c r="H16" s="186"/>
      <c r="I16" s="186"/>
      <c r="J16" s="186"/>
      <c r="K16" s="209">
        <f t="shared" ref="K16:K27" si="2">SUM(B16:J16)</f>
        <v>0</v>
      </c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</row>
    <row r="17" spans="1:24" ht="14.5" x14ac:dyDescent="0.35">
      <c r="A17" s="32" t="s">
        <v>422</v>
      </c>
      <c r="B17" s="359">
        <f>(B36/$K$36)*$H$32</f>
        <v>1388.8888888888889</v>
      </c>
      <c r="C17" s="359">
        <f>(C36/$K$36)*$H$32</f>
        <v>444.4444444444444</v>
      </c>
      <c r="D17" s="359">
        <f>(D36/$K$36)*$H$32</f>
        <v>0</v>
      </c>
      <c r="E17" s="359">
        <f>(E36/$K$36)*$H$32</f>
        <v>1166.6666666666667</v>
      </c>
      <c r="F17" s="359">
        <f>(F36/$K$36)*$H$32</f>
        <v>0</v>
      </c>
      <c r="G17" s="186"/>
      <c r="H17" s="186"/>
      <c r="I17" s="186"/>
      <c r="J17" s="186"/>
      <c r="K17" s="209">
        <f t="shared" si="2"/>
        <v>3000</v>
      </c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</row>
    <row r="18" spans="1:24" ht="14.5" x14ac:dyDescent="0.35">
      <c r="A18" s="32" t="s">
        <v>423</v>
      </c>
      <c r="B18" s="359">
        <f>(B37/$K$37)*$H$33</f>
        <v>2785.7142857142858</v>
      </c>
      <c r="C18" s="359">
        <f>(C37/$K$37)*$H$33</f>
        <v>857.14285714285711</v>
      </c>
      <c r="D18" s="359">
        <f>(D37/$K$37)*$H$33</f>
        <v>857.14285714285711</v>
      </c>
      <c r="E18" s="359">
        <f>(E37/$K$37)*$H$33</f>
        <v>0</v>
      </c>
      <c r="F18" s="359">
        <f>(F37/$K$37)*$H$33</f>
        <v>0</v>
      </c>
      <c r="G18" s="186"/>
      <c r="H18" s="186"/>
      <c r="I18" s="186"/>
      <c r="J18" s="186"/>
      <c r="K18" s="209">
        <f t="shared" si="2"/>
        <v>4500</v>
      </c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</row>
    <row r="19" spans="1:24" ht="14.5" x14ac:dyDescent="0.35">
      <c r="A19" s="32" t="s">
        <v>516</v>
      </c>
      <c r="B19" s="359">
        <f>(B38/$K$38)*$H$34</f>
        <v>2083.3333333333335</v>
      </c>
      <c r="C19" s="359">
        <f>(C38/$K$38)*$H$34</f>
        <v>750</v>
      </c>
      <c r="D19" s="359">
        <f>(D38/$K$38)*$H$34</f>
        <v>0</v>
      </c>
      <c r="E19" s="359">
        <f>(E38/$K$38)*$H$34</f>
        <v>1666.6666666666665</v>
      </c>
      <c r="F19" s="359">
        <f>(F38/$K$38)*$H$34</f>
        <v>0</v>
      </c>
      <c r="G19" s="186"/>
      <c r="H19" s="186"/>
      <c r="I19" s="186"/>
      <c r="J19" s="186"/>
      <c r="K19" s="209">
        <f t="shared" si="2"/>
        <v>4500</v>
      </c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</row>
    <row r="20" spans="1:24" ht="14.5" x14ac:dyDescent="0.35">
      <c r="A20" s="32" t="s">
        <v>424</v>
      </c>
      <c r="B20" s="359">
        <f>(B35/$K$35)*$H$31</f>
        <v>3931.0344827586209</v>
      </c>
      <c r="C20" s="359">
        <f>(C35/$K$35)*$H$31</f>
        <v>1293.1034482758621</v>
      </c>
      <c r="D20" s="359">
        <f>(D35/$K$35)*$H$31</f>
        <v>413.79310344827587</v>
      </c>
      <c r="E20" s="359">
        <f>(E35/$K$35)*$H$31</f>
        <v>2120.6896551724135</v>
      </c>
      <c r="F20" s="359">
        <f>(F35/$K$35)*$H$31</f>
        <v>1241.3793103448277</v>
      </c>
      <c r="G20" s="186" t="s">
        <v>32</v>
      </c>
      <c r="H20" s="186"/>
      <c r="I20" s="186"/>
      <c r="J20" s="186"/>
      <c r="K20" s="209">
        <f t="shared" si="2"/>
        <v>9000</v>
      </c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</row>
    <row r="21" spans="1:24" ht="14.5" x14ac:dyDescent="0.35">
      <c r="A21" s="32" t="s">
        <v>425</v>
      </c>
      <c r="B21" s="359">
        <f>4500*(5/11)</f>
        <v>2045.4545454545455</v>
      </c>
      <c r="C21" s="359">
        <f>4500*(3/11)</f>
        <v>1227.2727272727273</v>
      </c>
      <c r="D21" s="359"/>
      <c r="E21" s="359">
        <f>4500*(3/11)</f>
        <v>1227.2727272727273</v>
      </c>
      <c r="F21" s="359"/>
      <c r="G21" s="186"/>
      <c r="H21" s="186"/>
      <c r="I21" s="186"/>
      <c r="J21" s="186"/>
      <c r="K21" s="209">
        <f t="shared" si="2"/>
        <v>4500</v>
      </c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</row>
    <row r="22" spans="1:24" ht="14.5" x14ac:dyDescent="0.35">
      <c r="A22" s="32" t="s">
        <v>426</v>
      </c>
      <c r="B22" s="186"/>
      <c r="C22" s="359">
        <v>4500</v>
      </c>
      <c r="D22" s="186"/>
      <c r="E22" s="186"/>
      <c r="F22" s="186"/>
      <c r="G22" s="186"/>
      <c r="H22" s="186"/>
      <c r="I22" s="186"/>
      <c r="J22" s="186"/>
      <c r="K22" s="209">
        <f t="shared" si="2"/>
        <v>4500</v>
      </c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</row>
    <row r="23" spans="1:24" ht="14.5" x14ac:dyDescent="0.35">
      <c r="A23" s="32" t="s">
        <v>427</v>
      </c>
      <c r="B23" s="186"/>
      <c r="C23" s="359">
        <v>4500</v>
      </c>
      <c r="D23" s="186"/>
      <c r="E23" s="186"/>
      <c r="F23" s="186"/>
      <c r="G23" s="186"/>
      <c r="H23" s="186"/>
      <c r="I23" s="186"/>
      <c r="J23" s="186" t="s">
        <v>32</v>
      </c>
      <c r="K23" s="209">
        <f t="shared" si="2"/>
        <v>4500</v>
      </c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</row>
    <row r="24" spans="1:24" s="357" customFormat="1" ht="14.5" x14ac:dyDescent="0.35">
      <c r="A24" s="32" t="s">
        <v>608</v>
      </c>
      <c r="B24" s="186"/>
      <c r="C24" s="359">
        <v>4500</v>
      </c>
      <c r="D24" s="186"/>
      <c r="E24" s="186"/>
      <c r="F24" s="186"/>
      <c r="G24" s="186"/>
      <c r="H24" s="186"/>
      <c r="I24" s="186"/>
      <c r="J24" s="186"/>
      <c r="K24" s="209">
        <f t="shared" si="2"/>
        <v>4500</v>
      </c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</row>
    <row r="25" spans="1:24" ht="14.5" x14ac:dyDescent="0.35">
      <c r="A25" s="46" t="s">
        <v>517</v>
      </c>
      <c r="B25" s="186"/>
      <c r="C25" s="186"/>
      <c r="D25" s="186"/>
      <c r="E25" s="186"/>
      <c r="F25" s="359">
        <v>3000</v>
      </c>
      <c r="G25" s="186"/>
      <c r="H25" s="186"/>
      <c r="I25" s="186"/>
      <c r="J25" s="186"/>
      <c r="K25" s="209">
        <f t="shared" si="2"/>
        <v>3000</v>
      </c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</row>
    <row r="26" spans="1:24" ht="14.5" x14ac:dyDescent="0.35">
      <c r="A26" s="46" t="s">
        <v>428</v>
      </c>
      <c r="B26" s="359">
        <v>1500</v>
      </c>
      <c r="C26" s="359">
        <v>1500</v>
      </c>
      <c r="D26" s="186"/>
      <c r="E26" s="186"/>
      <c r="F26" s="186"/>
      <c r="G26" s="186"/>
      <c r="H26" s="186"/>
      <c r="I26" s="186"/>
      <c r="J26" s="186"/>
      <c r="K26" s="209">
        <f t="shared" si="2"/>
        <v>3000</v>
      </c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</row>
    <row r="27" spans="1:24" ht="14.5" x14ac:dyDescent="0.35">
      <c r="A27" s="46" t="s">
        <v>429</v>
      </c>
      <c r="B27" s="186"/>
      <c r="C27" s="186"/>
      <c r="D27" s="186"/>
      <c r="E27" s="359">
        <v>4500</v>
      </c>
      <c r="F27" s="186"/>
      <c r="G27" s="186"/>
      <c r="H27" s="186"/>
      <c r="I27" s="186"/>
      <c r="J27" s="186"/>
      <c r="K27" s="209">
        <f t="shared" si="2"/>
        <v>4500</v>
      </c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</row>
    <row r="28" spans="1:24" s="351" customFormat="1" ht="14.5" x14ac:dyDescent="0.35">
      <c r="A28" s="217" t="s">
        <v>581</v>
      </c>
      <c r="B28" s="259">
        <v>3000</v>
      </c>
      <c r="C28" s="259">
        <v>1300</v>
      </c>
      <c r="D28" s="186"/>
      <c r="E28" s="186"/>
      <c r="F28" s="186"/>
      <c r="G28" s="186"/>
      <c r="H28" s="186"/>
      <c r="I28" s="186"/>
      <c r="J28" s="186"/>
      <c r="K28" s="62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</row>
    <row r="29" spans="1:24" ht="14.5" x14ac:dyDescent="0.35">
      <c r="A29" s="211" t="s">
        <v>240</v>
      </c>
      <c r="B29" s="360">
        <f>SUM(B16:B28)</f>
        <v>16734.425536149676</v>
      </c>
      <c r="C29" s="360">
        <f t="shared" ref="C29:J29" si="3">SUM(C16:C28)</f>
        <v>20871.963477135891</v>
      </c>
      <c r="D29" s="360">
        <f t="shared" si="3"/>
        <v>1270.9359605911329</v>
      </c>
      <c r="E29" s="360">
        <f t="shared" si="3"/>
        <v>10681.295715778473</v>
      </c>
      <c r="F29" s="360">
        <f t="shared" si="3"/>
        <v>4241.3793103448279</v>
      </c>
      <c r="G29" s="360">
        <f t="shared" si="3"/>
        <v>0</v>
      </c>
      <c r="H29" s="360">
        <f t="shared" si="3"/>
        <v>0</v>
      </c>
      <c r="I29" s="360">
        <f t="shared" si="3"/>
        <v>0</v>
      </c>
      <c r="J29" s="360">
        <f t="shared" si="3"/>
        <v>0</v>
      </c>
      <c r="K29" s="213">
        <f>SUM(B29:J29)</f>
        <v>53800</v>
      </c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</row>
    <row r="30" spans="1:24" ht="14.5" x14ac:dyDescent="0.3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>
        <f>Program!H36</f>
        <v>53800</v>
      </c>
      <c r="L30" s="217" t="s">
        <v>609</v>
      </c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</row>
    <row r="31" spans="1:24" ht="14.5" x14ac:dyDescent="0.35">
      <c r="A31" s="217" t="s">
        <v>611</v>
      </c>
      <c r="B31" s="217"/>
      <c r="C31" s="217"/>
      <c r="D31" s="217"/>
      <c r="E31" s="217"/>
      <c r="F31" s="217"/>
      <c r="G31" s="217"/>
      <c r="H31" s="217">
        <v>9000</v>
      </c>
      <c r="I31" s="217"/>
      <c r="J31" s="217"/>
      <c r="K31" s="217">
        <f>K29-K30</f>
        <v>0</v>
      </c>
      <c r="L31" s="217" t="s">
        <v>566</v>
      </c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</row>
    <row r="32" spans="1:24" s="357" customFormat="1" ht="14.5" x14ac:dyDescent="0.35">
      <c r="A32" s="217" t="s">
        <v>615</v>
      </c>
      <c r="B32" s="217"/>
      <c r="C32" s="217"/>
      <c r="D32" s="217"/>
      <c r="E32" s="217"/>
      <c r="F32" s="217"/>
      <c r="G32" s="217"/>
      <c r="H32" s="217">
        <v>3000</v>
      </c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</row>
    <row r="33" spans="1:24" s="357" customFormat="1" ht="14.5" x14ac:dyDescent="0.35">
      <c r="A33" s="217" t="s">
        <v>616</v>
      </c>
      <c r="B33" s="217"/>
      <c r="C33" s="217"/>
      <c r="D33" s="217"/>
      <c r="E33" s="217"/>
      <c r="F33" s="217"/>
      <c r="G33" s="217"/>
      <c r="H33" s="217">
        <v>4500</v>
      </c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</row>
    <row r="34" spans="1:24" s="357" customFormat="1" ht="14.5" x14ac:dyDescent="0.35">
      <c r="A34" s="217" t="s">
        <v>617</v>
      </c>
      <c r="B34" s="217"/>
      <c r="C34" s="217"/>
      <c r="D34" s="217"/>
      <c r="E34" s="217"/>
      <c r="F34" s="217"/>
      <c r="G34" s="217"/>
      <c r="H34" s="217">
        <v>4500</v>
      </c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</row>
    <row r="35" spans="1:24" ht="14.5" x14ac:dyDescent="0.35">
      <c r="A35" s="217" t="s">
        <v>610</v>
      </c>
      <c r="B35" s="217">
        <f>76</f>
        <v>76</v>
      </c>
      <c r="C35" s="217">
        <f>25</f>
        <v>25</v>
      </c>
      <c r="D35" s="217">
        <f>_xlfn.CEILING.MATH(5*1.5)</f>
        <v>8</v>
      </c>
      <c r="E35" s="217">
        <f>16+25</f>
        <v>41</v>
      </c>
      <c r="F35" s="217">
        <f>24</f>
        <v>24</v>
      </c>
      <c r="G35" s="217"/>
      <c r="H35" s="217"/>
      <c r="I35" s="217"/>
      <c r="J35" s="217"/>
      <c r="K35" s="217">
        <f>SUM(B35:F35)</f>
        <v>174</v>
      </c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</row>
    <row r="36" spans="1:24" ht="14.5" x14ac:dyDescent="0.35">
      <c r="A36" s="217" t="s">
        <v>613</v>
      </c>
      <c r="B36" s="217">
        <v>25</v>
      </c>
      <c r="C36" s="217">
        <v>8</v>
      </c>
      <c r="D36" s="217"/>
      <c r="E36" s="217">
        <v>21</v>
      </c>
      <c r="F36" s="217"/>
      <c r="G36" s="217"/>
      <c r="H36" s="217"/>
      <c r="I36" s="217"/>
      <c r="J36" s="217"/>
      <c r="K36" s="217">
        <f t="shared" ref="K36:K38" si="4">SUM(B36:F36)</f>
        <v>54</v>
      </c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</row>
    <row r="37" spans="1:24" ht="14.5" x14ac:dyDescent="0.35">
      <c r="A37" s="217" t="s">
        <v>612</v>
      </c>
      <c r="B37" s="217">
        <v>26</v>
      </c>
      <c r="C37" s="217">
        <v>8</v>
      </c>
      <c r="D37" s="217">
        <v>8</v>
      </c>
      <c r="E37" s="217"/>
      <c r="F37" s="217"/>
      <c r="G37" s="217"/>
      <c r="H37" s="217"/>
      <c r="I37" s="217"/>
      <c r="J37" s="217"/>
      <c r="K37" s="217">
        <f t="shared" si="4"/>
        <v>42</v>
      </c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</row>
    <row r="38" spans="1:24" ht="14.5" x14ac:dyDescent="0.35">
      <c r="A38" s="217" t="s">
        <v>614</v>
      </c>
      <c r="B38" s="217">
        <v>25</v>
      </c>
      <c r="C38" s="217">
        <v>9</v>
      </c>
      <c r="D38" s="217"/>
      <c r="E38" s="217">
        <v>20</v>
      </c>
      <c r="F38" s="217"/>
      <c r="G38" s="217"/>
      <c r="H38" s="217"/>
      <c r="I38" s="217"/>
      <c r="J38" s="217"/>
      <c r="K38" s="217">
        <f t="shared" si="4"/>
        <v>54</v>
      </c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</row>
    <row r="39" spans="1:24" ht="14.5" x14ac:dyDescent="0.35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</row>
    <row r="40" spans="1:24" ht="14.5" x14ac:dyDescent="0.35">
      <c r="A40" s="217"/>
      <c r="B40" s="217"/>
      <c r="C40" s="217"/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</row>
    <row r="41" spans="1:24" ht="14.5" x14ac:dyDescent="0.35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</row>
    <row r="42" spans="1:24" ht="14.5" x14ac:dyDescent="0.35">
      <c r="A42" s="217"/>
      <c r="B42" s="217"/>
      <c r="C42" s="217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</row>
    <row r="43" spans="1:24" ht="14.5" x14ac:dyDescent="0.35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</row>
    <row r="44" spans="1:24" ht="14.5" x14ac:dyDescent="0.35">
      <c r="A44" s="217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</row>
    <row r="45" spans="1:24" ht="14.5" x14ac:dyDescent="0.35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</row>
    <row r="46" spans="1:24" ht="14.5" x14ac:dyDescent="0.35">
      <c r="A46" s="217"/>
      <c r="B46" s="217"/>
      <c r="C46" s="217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</row>
    <row r="47" spans="1:24" ht="14.5" x14ac:dyDescent="0.3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</row>
    <row r="48" spans="1:24" ht="14.5" x14ac:dyDescent="0.35">
      <c r="A48" s="217"/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</row>
    <row r="49" spans="1:24" ht="14.5" x14ac:dyDescent="0.35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</row>
    <row r="50" spans="1:24" ht="14.5" x14ac:dyDescent="0.35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</row>
    <row r="51" spans="1:24" ht="14.5" x14ac:dyDescent="0.35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</row>
    <row r="52" spans="1:24" ht="14.5" x14ac:dyDescent="0.35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</row>
    <row r="53" spans="1:24" ht="14.5" x14ac:dyDescent="0.35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</row>
    <row r="54" spans="1:24" ht="14.5" x14ac:dyDescent="0.35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</row>
    <row r="55" spans="1:24" ht="14.5" x14ac:dyDescent="0.35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</row>
    <row r="56" spans="1:24" ht="14.5" x14ac:dyDescent="0.35">
      <c r="A56" s="217"/>
      <c r="B56" s="217"/>
      <c r="C56" s="217"/>
      <c r="D56" s="217"/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</row>
    <row r="57" spans="1:24" ht="14.5" x14ac:dyDescent="0.35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</row>
    <row r="58" spans="1:24" ht="14.5" x14ac:dyDescent="0.3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</row>
    <row r="59" spans="1:24" ht="14.5" x14ac:dyDescent="0.3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</row>
    <row r="60" spans="1:24" ht="14.5" x14ac:dyDescent="0.35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</row>
    <row r="61" spans="1:24" ht="14.5" x14ac:dyDescent="0.35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</row>
    <row r="62" spans="1:24" ht="14.5" x14ac:dyDescent="0.35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</row>
    <row r="63" spans="1:24" ht="14.5" x14ac:dyDescent="0.35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</row>
    <row r="64" spans="1:24" ht="14.5" x14ac:dyDescent="0.35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</row>
    <row r="65" spans="1:24" ht="14.5" x14ac:dyDescent="0.35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</row>
    <row r="66" spans="1:24" ht="14.5" x14ac:dyDescent="0.35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</row>
    <row r="67" spans="1:24" ht="14.5" x14ac:dyDescent="0.35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</row>
    <row r="68" spans="1:24" ht="14.5" x14ac:dyDescent="0.35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</row>
    <row r="69" spans="1:24" ht="14.5" x14ac:dyDescent="0.35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</row>
    <row r="70" spans="1:24" ht="14.5" x14ac:dyDescent="0.35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</row>
    <row r="71" spans="1:24" ht="14.5" x14ac:dyDescent="0.35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</row>
    <row r="72" spans="1:24" ht="14.5" x14ac:dyDescent="0.35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</row>
    <row r="73" spans="1:24" ht="14.5" x14ac:dyDescent="0.35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</row>
    <row r="74" spans="1:24" ht="14.5" x14ac:dyDescent="0.3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</row>
    <row r="75" spans="1:24" ht="14.5" x14ac:dyDescent="0.35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</row>
    <row r="76" spans="1:24" ht="14.5" x14ac:dyDescent="0.35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</row>
    <row r="77" spans="1:24" ht="14.5" x14ac:dyDescent="0.35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</row>
    <row r="78" spans="1:24" ht="14.5" x14ac:dyDescent="0.35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</row>
    <row r="79" spans="1:24" ht="14.5" x14ac:dyDescent="0.35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</row>
    <row r="80" spans="1:24" ht="14.5" x14ac:dyDescent="0.35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</row>
    <row r="81" spans="1:24" ht="14.5" x14ac:dyDescent="0.35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</row>
    <row r="82" spans="1:24" ht="14.5" x14ac:dyDescent="0.35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</row>
    <row r="83" spans="1:24" ht="14.5" x14ac:dyDescent="0.35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</row>
    <row r="84" spans="1:24" ht="14.5" x14ac:dyDescent="0.35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</row>
    <row r="85" spans="1:24" ht="14.5" x14ac:dyDescent="0.35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</row>
    <row r="86" spans="1:24" ht="14.5" x14ac:dyDescent="0.35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</row>
    <row r="87" spans="1:24" ht="14.5" x14ac:dyDescent="0.35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</row>
    <row r="88" spans="1:24" ht="14.5" x14ac:dyDescent="0.35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</row>
    <row r="89" spans="1:24" ht="14.5" x14ac:dyDescent="0.35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</row>
    <row r="90" spans="1:24" ht="14.5" x14ac:dyDescent="0.35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</row>
    <row r="91" spans="1:24" ht="14.5" x14ac:dyDescent="0.35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</row>
    <row r="92" spans="1:24" ht="14.5" x14ac:dyDescent="0.35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</row>
    <row r="93" spans="1:24" ht="14.5" x14ac:dyDescent="0.35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</row>
    <row r="94" spans="1:24" ht="14.5" x14ac:dyDescent="0.35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</row>
    <row r="95" spans="1:24" ht="14.5" x14ac:dyDescent="0.35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</row>
    <row r="96" spans="1:24" ht="14.5" x14ac:dyDescent="0.35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</row>
    <row r="97" spans="1:24" ht="14.5" x14ac:dyDescent="0.35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</row>
    <row r="98" spans="1:24" ht="14.5" x14ac:dyDescent="0.35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</row>
    <row r="99" spans="1:24" ht="14.5" x14ac:dyDescent="0.35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</row>
    <row r="100" spans="1:24" ht="14.5" x14ac:dyDescent="0.35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</row>
    <row r="101" spans="1:24" ht="14.5" x14ac:dyDescent="0.35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</row>
    <row r="102" spans="1:24" ht="14.5" x14ac:dyDescent="0.35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</row>
    <row r="103" spans="1:24" ht="14.5" x14ac:dyDescent="0.35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</row>
    <row r="104" spans="1:24" ht="14.5" x14ac:dyDescent="0.35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</row>
    <row r="105" spans="1:24" ht="14.5" x14ac:dyDescent="0.35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</row>
    <row r="106" spans="1:24" ht="14.5" x14ac:dyDescent="0.35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</row>
    <row r="107" spans="1:24" ht="14.5" x14ac:dyDescent="0.35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</row>
    <row r="108" spans="1:24" ht="14.5" x14ac:dyDescent="0.35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</row>
    <row r="109" spans="1:24" ht="14.5" x14ac:dyDescent="0.35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</row>
    <row r="110" spans="1:24" ht="14.5" x14ac:dyDescent="0.35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</row>
    <row r="111" spans="1:24" ht="14.5" x14ac:dyDescent="0.35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</row>
    <row r="112" spans="1:24" ht="14.5" x14ac:dyDescent="0.35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</row>
    <row r="113" spans="1:24" ht="14.5" x14ac:dyDescent="0.35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</row>
    <row r="114" spans="1:24" ht="14.5" x14ac:dyDescent="0.35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</row>
    <row r="115" spans="1:24" ht="14.5" x14ac:dyDescent="0.35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</row>
    <row r="116" spans="1:24" ht="14.5" x14ac:dyDescent="0.35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</row>
    <row r="117" spans="1:24" ht="14.5" x14ac:dyDescent="0.35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</row>
    <row r="118" spans="1:24" ht="14.5" x14ac:dyDescent="0.35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</row>
    <row r="119" spans="1:24" ht="14.5" x14ac:dyDescent="0.35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</row>
    <row r="120" spans="1:24" ht="14.5" x14ac:dyDescent="0.35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</row>
    <row r="121" spans="1:24" ht="14.5" x14ac:dyDescent="0.35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</row>
    <row r="122" spans="1:24" ht="14.5" x14ac:dyDescent="0.35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</row>
    <row r="123" spans="1:24" ht="14.5" x14ac:dyDescent="0.35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</row>
    <row r="124" spans="1:24" ht="14.5" x14ac:dyDescent="0.35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</row>
    <row r="125" spans="1:24" ht="14.5" x14ac:dyDescent="0.35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</row>
    <row r="126" spans="1:24" ht="14.5" x14ac:dyDescent="0.35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</row>
    <row r="127" spans="1:24" ht="14.5" x14ac:dyDescent="0.35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</row>
    <row r="128" spans="1:24" ht="14.5" x14ac:dyDescent="0.35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</row>
    <row r="129" spans="1:24" ht="14.5" x14ac:dyDescent="0.35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</row>
    <row r="130" spans="1:24" ht="14.5" x14ac:dyDescent="0.35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</row>
    <row r="131" spans="1:24" ht="14.5" x14ac:dyDescent="0.35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</row>
    <row r="132" spans="1:24" ht="14.5" x14ac:dyDescent="0.35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</row>
    <row r="133" spans="1:24" ht="14.5" x14ac:dyDescent="0.35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</row>
    <row r="134" spans="1:24" ht="14.5" x14ac:dyDescent="0.35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</row>
    <row r="135" spans="1:24" ht="14.5" x14ac:dyDescent="0.35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</row>
    <row r="136" spans="1:24" ht="14.5" x14ac:dyDescent="0.35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</row>
    <row r="137" spans="1:24" ht="14.5" x14ac:dyDescent="0.35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</row>
    <row r="138" spans="1:24" ht="14.5" x14ac:dyDescent="0.35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</row>
    <row r="139" spans="1:24" ht="14.5" x14ac:dyDescent="0.35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</row>
    <row r="140" spans="1:24" ht="14.5" x14ac:dyDescent="0.35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</row>
    <row r="141" spans="1:24" ht="14.5" x14ac:dyDescent="0.35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</row>
    <row r="142" spans="1:24" ht="14.5" x14ac:dyDescent="0.35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</row>
    <row r="143" spans="1:24" ht="14.5" x14ac:dyDescent="0.35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</row>
    <row r="144" spans="1:24" ht="14.5" x14ac:dyDescent="0.35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</row>
    <row r="145" spans="1:24" ht="14.5" x14ac:dyDescent="0.35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</row>
    <row r="146" spans="1:24" ht="14.5" x14ac:dyDescent="0.35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</row>
    <row r="147" spans="1:24" ht="14.5" x14ac:dyDescent="0.35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</row>
    <row r="148" spans="1:24" ht="14.5" x14ac:dyDescent="0.35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</row>
    <row r="149" spans="1:24" ht="14.5" x14ac:dyDescent="0.35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</row>
    <row r="150" spans="1:24" ht="14.5" x14ac:dyDescent="0.35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</row>
    <row r="151" spans="1:24" ht="14.5" x14ac:dyDescent="0.35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</row>
    <row r="152" spans="1:24" ht="14.5" x14ac:dyDescent="0.35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</row>
    <row r="153" spans="1:24" ht="14.5" x14ac:dyDescent="0.35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</row>
    <row r="154" spans="1:24" ht="14.5" x14ac:dyDescent="0.35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</row>
    <row r="155" spans="1:24" ht="14.5" x14ac:dyDescent="0.35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</row>
    <row r="156" spans="1:24" ht="14.5" x14ac:dyDescent="0.35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</row>
    <row r="157" spans="1:24" ht="14.5" x14ac:dyDescent="0.35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</row>
    <row r="158" spans="1:24" ht="14.5" x14ac:dyDescent="0.35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</row>
    <row r="159" spans="1:24" ht="14.5" x14ac:dyDescent="0.35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</row>
    <row r="160" spans="1:24" ht="14.5" x14ac:dyDescent="0.35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</row>
    <row r="161" spans="1:24" ht="14.5" x14ac:dyDescent="0.35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</row>
    <row r="162" spans="1:24" ht="14.5" x14ac:dyDescent="0.35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</row>
    <row r="163" spans="1:24" ht="14.5" x14ac:dyDescent="0.35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</row>
    <row r="164" spans="1:24" ht="14.5" x14ac:dyDescent="0.35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</row>
    <row r="165" spans="1:24" ht="14.5" x14ac:dyDescent="0.35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</row>
    <row r="166" spans="1:24" ht="14.5" x14ac:dyDescent="0.35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</row>
    <row r="167" spans="1:24" ht="14.5" x14ac:dyDescent="0.35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</row>
    <row r="168" spans="1:24" ht="14.5" x14ac:dyDescent="0.35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</row>
    <row r="169" spans="1:24" ht="14.5" x14ac:dyDescent="0.35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</row>
    <row r="170" spans="1:24" ht="14.5" x14ac:dyDescent="0.35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</row>
    <row r="171" spans="1:24" ht="14.5" x14ac:dyDescent="0.35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</row>
    <row r="172" spans="1:24" ht="14.5" x14ac:dyDescent="0.35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</row>
    <row r="173" spans="1:24" ht="14.5" x14ac:dyDescent="0.35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</row>
    <row r="174" spans="1:24" ht="14.5" x14ac:dyDescent="0.35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</row>
    <row r="175" spans="1:24" ht="14.5" x14ac:dyDescent="0.35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</row>
    <row r="176" spans="1:24" ht="14.5" x14ac:dyDescent="0.35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</row>
    <row r="177" spans="1:24" ht="14.5" x14ac:dyDescent="0.35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</row>
    <row r="178" spans="1:24" ht="14.5" x14ac:dyDescent="0.35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</row>
    <row r="179" spans="1:24" ht="14.5" x14ac:dyDescent="0.35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</row>
    <row r="180" spans="1:24" ht="14.5" x14ac:dyDescent="0.35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</row>
    <row r="181" spans="1:24" ht="14.5" x14ac:dyDescent="0.35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</row>
    <row r="182" spans="1:24" ht="14.5" x14ac:dyDescent="0.35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</row>
    <row r="183" spans="1:24" ht="14.5" x14ac:dyDescent="0.35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</row>
    <row r="184" spans="1:24" ht="14.5" x14ac:dyDescent="0.35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</row>
    <row r="185" spans="1:24" ht="14.5" x14ac:dyDescent="0.35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</row>
    <row r="186" spans="1:24" ht="14.5" x14ac:dyDescent="0.35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</row>
    <row r="187" spans="1:24" ht="14.5" x14ac:dyDescent="0.35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</row>
    <row r="188" spans="1:24" ht="14.5" x14ac:dyDescent="0.35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</row>
    <row r="189" spans="1:24" ht="14.5" x14ac:dyDescent="0.35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</row>
    <row r="190" spans="1:24" ht="14.5" x14ac:dyDescent="0.35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</row>
    <row r="191" spans="1:24" ht="14.5" x14ac:dyDescent="0.35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</row>
    <row r="192" spans="1:24" ht="14.5" x14ac:dyDescent="0.35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</row>
    <row r="193" spans="1:24" ht="14.5" x14ac:dyDescent="0.35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</row>
    <row r="194" spans="1:24" ht="14.5" x14ac:dyDescent="0.35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</row>
    <row r="195" spans="1:24" ht="14.5" x14ac:dyDescent="0.35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</row>
    <row r="196" spans="1:24" ht="14.5" x14ac:dyDescent="0.35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</row>
    <row r="197" spans="1:24" ht="14.5" x14ac:dyDescent="0.35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</row>
    <row r="198" spans="1:24" ht="14.5" x14ac:dyDescent="0.35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</row>
    <row r="199" spans="1:24" ht="14.5" x14ac:dyDescent="0.35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</row>
    <row r="200" spans="1:24" ht="14.5" x14ac:dyDescent="0.35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</row>
    <row r="201" spans="1:24" ht="14.5" x14ac:dyDescent="0.35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</row>
    <row r="202" spans="1:24" ht="14.5" x14ac:dyDescent="0.35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</row>
    <row r="203" spans="1:24" ht="14.5" x14ac:dyDescent="0.35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</row>
    <row r="204" spans="1:24" ht="14.5" x14ac:dyDescent="0.35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</row>
    <row r="205" spans="1:24" ht="14.5" x14ac:dyDescent="0.35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</row>
    <row r="206" spans="1:24" ht="14.5" x14ac:dyDescent="0.35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</row>
    <row r="207" spans="1:24" ht="14.5" x14ac:dyDescent="0.35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</row>
    <row r="208" spans="1:24" ht="14.5" x14ac:dyDescent="0.35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</row>
    <row r="209" spans="1:24" ht="14.5" x14ac:dyDescent="0.35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</row>
    <row r="210" spans="1:24" ht="14.5" x14ac:dyDescent="0.35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</row>
    <row r="211" spans="1:24" ht="14.5" x14ac:dyDescent="0.35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</row>
    <row r="212" spans="1:24" ht="14.5" x14ac:dyDescent="0.35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</row>
    <row r="213" spans="1:24" ht="14.5" x14ac:dyDescent="0.35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</row>
    <row r="214" spans="1:24" ht="14.5" x14ac:dyDescent="0.35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</row>
    <row r="215" spans="1:24" ht="14.5" x14ac:dyDescent="0.35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</row>
    <row r="216" spans="1:24" ht="14.5" x14ac:dyDescent="0.35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</row>
    <row r="217" spans="1:24" ht="14.5" x14ac:dyDescent="0.35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</row>
    <row r="218" spans="1:24" ht="14.5" x14ac:dyDescent="0.35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</row>
    <row r="219" spans="1:24" ht="14.5" x14ac:dyDescent="0.35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</row>
    <row r="220" spans="1:24" ht="14.5" x14ac:dyDescent="0.35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</row>
    <row r="221" spans="1:24" ht="14.5" x14ac:dyDescent="0.35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</row>
    <row r="222" spans="1:24" ht="14.5" x14ac:dyDescent="0.35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</row>
    <row r="223" spans="1:24" ht="14.5" x14ac:dyDescent="0.35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</row>
    <row r="224" spans="1:24" ht="14.5" x14ac:dyDescent="0.35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</row>
    <row r="225" spans="1:24" ht="14.5" x14ac:dyDescent="0.35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</row>
    <row r="226" spans="1:24" ht="14.5" x14ac:dyDescent="0.35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</row>
    <row r="227" spans="1:24" ht="14.5" x14ac:dyDescent="0.35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</row>
    <row r="228" spans="1:24" ht="14.5" x14ac:dyDescent="0.35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</row>
    <row r="229" spans="1:24" ht="14.5" x14ac:dyDescent="0.35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</row>
    <row r="230" spans="1:24" ht="14.5" x14ac:dyDescent="0.35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</row>
    <row r="231" spans="1:24" ht="14.5" x14ac:dyDescent="0.35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</row>
    <row r="232" spans="1:24" ht="14.5" x14ac:dyDescent="0.35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</row>
    <row r="233" spans="1:24" ht="14.5" x14ac:dyDescent="0.35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</row>
    <row r="234" spans="1:24" ht="14.5" x14ac:dyDescent="0.35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</row>
    <row r="235" spans="1:24" ht="14.5" x14ac:dyDescent="0.35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</row>
    <row r="236" spans="1:24" ht="14.5" x14ac:dyDescent="0.35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</row>
    <row r="237" spans="1:24" ht="14.5" x14ac:dyDescent="0.35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</row>
    <row r="238" spans="1:24" ht="14.5" x14ac:dyDescent="0.35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</row>
    <row r="239" spans="1:24" ht="14.5" x14ac:dyDescent="0.3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</row>
    <row r="240" spans="1:24" ht="14.5" x14ac:dyDescent="0.35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</row>
    <row r="241" spans="1:24" ht="14.5" x14ac:dyDescent="0.35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</row>
    <row r="242" spans="1:24" ht="14.5" x14ac:dyDescent="0.35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</row>
    <row r="243" spans="1:24" ht="14.5" x14ac:dyDescent="0.35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</row>
    <row r="244" spans="1:24" ht="14.5" x14ac:dyDescent="0.35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</row>
    <row r="245" spans="1:24" ht="14.5" x14ac:dyDescent="0.35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</row>
    <row r="246" spans="1:24" ht="14.5" x14ac:dyDescent="0.35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</row>
    <row r="247" spans="1:24" ht="14.5" x14ac:dyDescent="0.35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</row>
    <row r="248" spans="1:24" ht="14.5" x14ac:dyDescent="0.35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</row>
    <row r="249" spans="1:24" ht="14.5" x14ac:dyDescent="0.35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</row>
    <row r="250" spans="1:24" ht="14.5" x14ac:dyDescent="0.35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</row>
    <row r="251" spans="1:24" ht="14.5" x14ac:dyDescent="0.35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</row>
    <row r="252" spans="1:24" ht="14.5" x14ac:dyDescent="0.35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</row>
    <row r="253" spans="1:24" ht="14.5" x14ac:dyDescent="0.35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</row>
    <row r="254" spans="1:24" ht="14.5" x14ac:dyDescent="0.35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</row>
    <row r="255" spans="1:24" ht="14.5" x14ac:dyDescent="0.35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</row>
    <row r="256" spans="1:24" ht="14.5" x14ac:dyDescent="0.35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</row>
    <row r="257" spans="1:24" ht="14.5" x14ac:dyDescent="0.35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</row>
    <row r="258" spans="1:24" ht="14.5" x14ac:dyDescent="0.35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</row>
    <row r="259" spans="1:24" ht="14.5" x14ac:dyDescent="0.35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</row>
    <row r="260" spans="1:24" ht="14.5" x14ac:dyDescent="0.35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</row>
    <row r="261" spans="1:24" ht="14.5" x14ac:dyDescent="0.35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</row>
    <row r="262" spans="1:24" ht="14.5" x14ac:dyDescent="0.35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</row>
    <row r="263" spans="1:24" ht="14.5" x14ac:dyDescent="0.35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</row>
    <row r="264" spans="1:24" ht="14.5" x14ac:dyDescent="0.35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</row>
    <row r="265" spans="1:24" ht="14.5" x14ac:dyDescent="0.35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</row>
    <row r="266" spans="1:24" ht="14.5" x14ac:dyDescent="0.35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</row>
    <row r="267" spans="1:24" ht="14.5" x14ac:dyDescent="0.35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</row>
    <row r="268" spans="1:24" ht="14.5" x14ac:dyDescent="0.35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</row>
    <row r="269" spans="1:24" ht="14.5" x14ac:dyDescent="0.35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</row>
    <row r="270" spans="1:24" ht="14.5" x14ac:dyDescent="0.35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</row>
    <row r="271" spans="1:24" ht="14.5" x14ac:dyDescent="0.35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</row>
    <row r="272" spans="1:24" ht="14.5" x14ac:dyDescent="0.35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</row>
    <row r="273" spans="1:24" ht="14.5" x14ac:dyDescent="0.35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</row>
    <row r="274" spans="1:24" ht="14.5" x14ac:dyDescent="0.35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</row>
    <row r="275" spans="1:24" ht="14.5" x14ac:dyDescent="0.35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</row>
    <row r="276" spans="1:24" ht="14.5" x14ac:dyDescent="0.35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</row>
    <row r="277" spans="1:24" ht="14.5" x14ac:dyDescent="0.35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</row>
    <row r="278" spans="1:24" ht="14.5" x14ac:dyDescent="0.35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</row>
    <row r="279" spans="1:24" ht="14.5" x14ac:dyDescent="0.35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</row>
    <row r="280" spans="1:24" ht="14.5" x14ac:dyDescent="0.35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</row>
    <row r="281" spans="1:24" ht="14.5" x14ac:dyDescent="0.35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</row>
    <row r="282" spans="1:24" ht="14.5" x14ac:dyDescent="0.35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</row>
    <row r="283" spans="1:24" ht="14.5" x14ac:dyDescent="0.35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</row>
    <row r="284" spans="1:24" ht="14.5" x14ac:dyDescent="0.35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</row>
    <row r="285" spans="1:24" ht="14.5" x14ac:dyDescent="0.35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</row>
    <row r="286" spans="1:24" ht="14.5" x14ac:dyDescent="0.35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</row>
    <row r="287" spans="1:24" ht="14.5" x14ac:dyDescent="0.35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</row>
    <row r="288" spans="1:24" ht="14.5" x14ac:dyDescent="0.35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</row>
    <row r="289" spans="1:24" ht="14.5" x14ac:dyDescent="0.35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</row>
    <row r="290" spans="1:24" ht="14.5" x14ac:dyDescent="0.35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</row>
    <row r="291" spans="1:24" ht="14.5" x14ac:dyDescent="0.35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</row>
    <row r="292" spans="1:24" ht="14.5" x14ac:dyDescent="0.35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</row>
    <row r="293" spans="1:24" ht="14.5" x14ac:dyDescent="0.35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</row>
    <row r="294" spans="1:24" ht="14.5" x14ac:dyDescent="0.35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</row>
    <row r="295" spans="1:24" ht="14.5" x14ac:dyDescent="0.35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</row>
    <row r="296" spans="1:24" ht="14.5" x14ac:dyDescent="0.35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</row>
    <row r="297" spans="1:24" ht="14.5" x14ac:dyDescent="0.35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</row>
    <row r="298" spans="1:24" ht="14.5" x14ac:dyDescent="0.35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</row>
    <row r="299" spans="1:24" ht="14.5" x14ac:dyDescent="0.35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</row>
    <row r="300" spans="1:24" ht="14.5" x14ac:dyDescent="0.35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</row>
    <row r="301" spans="1:24" ht="14.5" x14ac:dyDescent="0.35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</row>
    <row r="302" spans="1:24" ht="14.5" x14ac:dyDescent="0.35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</row>
    <row r="303" spans="1:24" ht="14.5" x14ac:dyDescent="0.35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</row>
    <row r="304" spans="1:24" ht="14.5" x14ac:dyDescent="0.35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</row>
    <row r="305" spans="1:24" ht="14.5" x14ac:dyDescent="0.35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</row>
    <row r="306" spans="1:24" ht="14.5" x14ac:dyDescent="0.35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</row>
    <row r="307" spans="1:24" ht="14.5" x14ac:dyDescent="0.35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</row>
    <row r="308" spans="1:24" ht="14.5" x14ac:dyDescent="0.35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</row>
    <row r="309" spans="1:24" ht="14.5" x14ac:dyDescent="0.35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</row>
    <row r="310" spans="1:24" ht="14.5" x14ac:dyDescent="0.35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</row>
    <row r="311" spans="1:24" ht="14.5" x14ac:dyDescent="0.35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</row>
    <row r="312" spans="1:24" ht="14.5" x14ac:dyDescent="0.35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</row>
    <row r="313" spans="1:24" ht="14.5" x14ac:dyDescent="0.35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</row>
    <row r="314" spans="1:24" ht="14.5" x14ac:dyDescent="0.35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</row>
    <row r="315" spans="1:24" ht="14.5" x14ac:dyDescent="0.35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</row>
    <row r="316" spans="1:24" ht="14.5" x14ac:dyDescent="0.35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</row>
    <row r="317" spans="1:24" ht="14.5" x14ac:dyDescent="0.35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</row>
    <row r="318" spans="1:24" ht="14.5" x14ac:dyDescent="0.35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</row>
    <row r="319" spans="1:24" ht="14.5" x14ac:dyDescent="0.35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</row>
    <row r="320" spans="1:24" ht="14.5" x14ac:dyDescent="0.35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</row>
    <row r="321" spans="1:24" ht="14.5" x14ac:dyDescent="0.35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</row>
    <row r="322" spans="1:24" ht="14.5" x14ac:dyDescent="0.35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</row>
    <row r="323" spans="1:24" ht="14.5" x14ac:dyDescent="0.35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</row>
    <row r="324" spans="1:24" ht="14.5" x14ac:dyDescent="0.35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</row>
    <row r="325" spans="1:24" ht="14.5" x14ac:dyDescent="0.35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</row>
    <row r="326" spans="1:24" ht="14.5" x14ac:dyDescent="0.35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</row>
    <row r="327" spans="1:24" ht="14.5" x14ac:dyDescent="0.35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</row>
    <row r="328" spans="1:24" ht="14.5" x14ac:dyDescent="0.35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</row>
    <row r="329" spans="1:24" ht="14.5" x14ac:dyDescent="0.35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</row>
    <row r="330" spans="1:24" ht="14.5" x14ac:dyDescent="0.35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</row>
    <row r="331" spans="1:24" ht="14.5" x14ac:dyDescent="0.35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</row>
    <row r="332" spans="1:24" ht="14.5" x14ac:dyDescent="0.35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</row>
    <row r="333" spans="1:24" ht="14.5" x14ac:dyDescent="0.35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</row>
    <row r="334" spans="1:24" ht="14.5" x14ac:dyDescent="0.35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</row>
    <row r="335" spans="1:24" ht="14.5" x14ac:dyDescent="0.35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</row>
    <row r="336" spans="1:24" ht="14.5" x14ac:dyDescent="0.35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</row>
    <row r="337" spans="1:24" ht="14.5" x14ac:dyDescent="0.35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</row>
    <row r="338" spans="1:24" ht="14.5" x14ac:dyDescent="0.35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</row>
    <row r="339" spans="1:24" ht="14.5" x14ac:dyDescent="0.35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</row>
    <row r="340" spans="1:24" ht="14.5" x14ac:dyDescent="0.35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</row>
    <row r="341" spans="1:24" ht="14.5" x14ac:dyDescent="0.35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</row>
    <row r="342" spans="1:24" ht="14.5" x14ac:dyDescent="0.35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</row>
    <row r="343" spans="1:24" ht="14.5" x14ac:dyDescent="0.35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</row>
    <row r="344" spans="1:24" ht="14.5" x14ac:dyDescent="0.35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</row>
    <row r="345" spans="1:24" ht="14.5" x14ac:dyDescent="0.35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</row>
    <row r="346" spans="1:24" ht="14.5" x14ac:dyDescent="0.35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</row>
    <row r="347" spans="1:24" ht="14.5" x14ac:dyDescent="0.35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</row>
    <row r="348" spans="1:24" ht="14.5" x14ac:dyDescent="0.35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</row>
    <row r="349" spans="1:24" ht="14.5" x14ac:dyDescent="0.35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</row>
    <row r="350" spans="1:24" ht="14.5" x14ac:dyDescent="0.35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</row>
    <row r="351" spans="1:24" ht="14.5" x14ac:dyDescent="0.35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</row>
    <row r="352" spans="1:24" ht="14.5" x14ac:dyDescent="0.35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</row>
    <row r="353" spans="1:24" ht="14.5" x14ac:dyDescent="0.35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</row>
    <row r="354" spans="1:24" ht="14.5" x14ac:dyDescent="0.35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</row>
    <row r="355" spans="1:24" ht="14.5" x14ac:dyDescent="0.35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</row>
    <row r="356" spans="1:24" ht="14.5" x14ac:dyDescent="0.35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</row>
    <row r="357" spans="1:24" ht="14.5" x14ac:dyDescent="0.35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</row>
    <row r="358" spans="1:24" ht="14.5" x14ac:dyDescent="0.35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</row>
    <row r="359" spans="1:24" ht="14.5" x14ac:dyDescent="0.35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</row>
    <row r="360" spans="1:24" ht="14.5" x14ac:dyDescent="0.35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</row>
    <row r="361" spans="1:24" ht="14.5" x14ac:dyDescent="0.35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</row>
    <row r="362" spans="1:24" ht="14.5" x14ac:dyDescent="0.35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</row>
    <row r="363" spans="1:24" ht="14.5" x14ac:dyDescent="0.35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</row>
    <row r="364" spans="1:24" ht="14.5" x14ac:dyDescent="0.35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</row>
    <row r="365" spans="1:24" ht="14.5" x14ac:dyDescent="0.35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</row>
    <row r="366" spans="1:24" ht="14.5" x14ac:dyDescent="0.3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</row>
    <row r="367" spans="1:24" ht="14.5" x14ac:dyDescent="0.35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</row>
    <row r="368" spans="1:24" ht="14.5" x14ac:dyDescent="0.35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</row>
    <row r="369" spans="1:24" ht="14.5" x14ac:dyDescent="0.35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</row>
    <row r="370" spans="1:24" ht="14.5" x14ac:dyDescent="0.35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</row>
    <row r="371" spans="1:24" ht="14.5" x14ac:dyDescent="0.35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</row>
    <row r="372" spans="1:24" ht="14.5" x14ac:dyDescent="0.35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</row>
    <row r="373" spans="1:24" ht="14.5" x14ac:dyDescent="0.35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</row>
    <row r="374" spans="1:24" ht="14.5" x14ac:dyDescent="0.35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</row>
    <row r="375" spans="1:24" ht="14.5" x14ac:dyDescent="0.35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</row>
    <row r="376" spans="1:24" ht="14.5" x14ac:dyDescent="0.35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</row>
    <row r="377" spans="1:24" ht="14.5" x14ac:dyDescent="0.35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</row>
    <row r="378" spans="1:24" ht="14.5" x14ac:dyDescent="0.35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</row>
    <row r="379" spans="1:24" ht="14.5" x14ac:dyDescent="0.35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</row>
    <row r="380" spans="1:24" ht="14.5" x14ac:dyDescent="0.35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</row>
    <row r="381" spans="1:24" ht="14.5" x14ac:dyDescent="0.35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</row>
    <row r="382" spans="1:24" ht="14.5" x14ac:dyDescent="0.35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</row>
    <row r="383" spans="1:24" ht="14.5" x14ac:dyDescent="0.35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</row>
    <row r="384" spans="1:24" ht="14.5" x14ac:dyDescent="0.35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</row>
    <row r="385" spans="1:24" ht="14.5" x14ac:dyDescent="0.35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</row>
    <row r="386" spans="1:24" ht="14.5" x14ac:dyDescent="0.35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</row>
    <row r="387" spans="1:24" ht="14.5" x14ac:dyDescent="0.35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</row>
    <row r="388" spans="1:24" ht="14.5" x14ac:dyDescent="0.35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</row>
    <row r="389" spans="1:24" ht="14.5" x14ac:dyDescent="0.35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</row>
    <row r="390" spans="1:24" ht="14.5" x14ac:dyDescent="0.35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</row>
    <row r="391" spans="1:24" ht="14.5" x14ac:dyDescent="0.35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</row>
    <row r="392" spans="1:24" ht="14.5" x14ac:dyDescent="0.35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</row>
    <row r="393" spans="1:24" ht="14.5" x14ac:dyDescent="0.35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</row>
    <row r="394" spans="1:24" ht="14.5" x14ac:dyDescent="0.35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</row>
    <row r="395" spans="1:24" ht="14.5" x14ac:dyDescent="0.35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</row>
    <row r="396" spans="1:24" ht="14.5" x14ac:dyDescent="0.35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</row>
    <row r="397" spans="1:24" ht="14.5" x14ac:dyDescent="0.35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</row>
    <row r="398" spans="1:24" ht="14.5" x14ac:dyDescent="0.35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</row>
    <row r="399" spans="1:24" ht="14.5" x14ac:dyDescent="0.35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</row>
    <row r="400" spans="1:24" ht="14.5" x14ac:dyDescent="0.35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</row>
    <row r="401" spans="1:24" ht="14.5" x14ac:dyDescent="0.35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</row>
    <row r="402" spans="1:24" ht="14.5" x14ac:dyDescent="0.35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</row>
    <row r="403" spans="1:24" ht="14.5" x14ac:dyDescent="0.35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</row>
    <row r="404" spans="1:24" ht="14.5" x14ac:dyDescent="0.35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</row>
    <row r="405" spans="1:24" ht="14.5" x14ac:dyDescent="0.35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</row>
    <row r="406" spans="1:24" ht="14.5" x14ac:dyDescent="0.35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</row>
    <row r="407" spans="1:24" ht="14.5" x14ac:dyDescent="0.35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</row>
    <row r="408" spans="1:24" ht="14.5" x14ac:dyDescent="0.35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</row>
    <row r="409" spans="1:24" ht="14.5" x14ac:dyDescent="0.35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</row>
    <row r="410" spans="1:24" ht="14.5" x14ac:dyDescent="0.35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</row>
    <row r="411" spans="1:24" ht="14.5" x14ac:dyDescent="0.35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</row>
    <row r="412" spans="1:24" ht="14.5" x14ac:dyDescent="0.35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</row>
    <row r="413" spans="1:24" ht="14.5" x14ac:dyDescent="0.35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</row>
    <row r="414" spans="1:24" ht="14.5" x14ac:dyDescent="0.35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</row>
    <row r="415" spans="1:24" ht="14.5" x14ac:dyDescent="0.35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</row>
    <row r="416" spans="1:24" ht="14.5" x14ac:dyDescent="0.35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</row>
    <row r="417" spans="1:24" ht="14.5" x14ac:dyDescent="0.35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</row>
    <row r="418" spans="1:24" ht="14.5" x14ac:dyDescent="0.35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</row>
    <row r="419" spans="1:24" ht="14.5" x14ac:dyDescent="0.35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</row>
    <row r="420" spans="1:24" ht="14.5" x14ac:dyDescent="0.35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</row>
    <row r="421" spans="1:24" ht="14.5" x14ac:dyDescent="0.35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</row>
    <row r="422" spans="1:24" ht="14.5" x14ac:dyDescent="0.35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</row>
    <row r="423" spans="1:24" ht="14.5" x14ac:dyDescent="0.35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</row>
    <row r="424" spans="1:24" ht="14.5" x14ac:dyDescent="0.35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</row>
    <row r="425" spans="1:24" ht="14.5" x14ac:dyDescent="0.35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</row>
    <row r="426" spans="1:24" ht="14.5" x14ac:dyDescent="0.35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</row>
    <row r="427" spans="1:24" ht="14.5" x14ac:dyDescent="0.35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</row>
    <row r="428" spans="1:24" ht="14.5" x14ac:dyDescent="0.35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</row>
    <row r="429" spans="1:24" ht="14.5" x14ac:dyDescent="0.35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</row>
    <row r="430" spans="1:24" ht="14.5" x14ac:dyDescent="0.35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</row>
    <row r="431" spans="1:24" ht="14.5" x14ac:dyDescent="0.35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</row>
    <row r="432" spans="1:24" ht="14.5" x14ac:dyDescent="0.35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</row>
    <row r="433" spans="1:24" ht="14.5" x14ac:dyDescent="0.35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</row>
    <row r="434" spans="1:24" ht="14.5" x14ac:dyDescent="0.35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</row>
    <row r="435" spans="1:24" ht="14.5" x14ac:dyDescent="0.35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</row>
    <row r="436" spans="1:24" ht="14.5" x14ac:dyDescent="0.35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</row>
    <row r="437" spans="1:24" ht="14.5" x14ac:dyDescent="0.35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</row>
    <row r="438" spans="1:24" ht="14.5" x14ac:dyDescent="0.35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</row>
    <row r="439" spans="1:24" ht="14.5" x14ac:dyDescent="0.35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</row>
    <row r="440" spans="1:24" ht="14.5" x14ac:dyDescent="0.35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</row>
    <row r="441" spans="1:24" ht="14.5" x14ac:dyDescent="0.35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</row>
    <row r="442" spans="1:24" ht="14.5" x14ac:dyDescent="0.35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</row>
    <row r="443" spans="1:24" ht="14.5" x14ac:dyDescent="0.35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</row>
    <row r="444" spans="1:24" ht="14.5" x14ac:dyDescent="0.35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</row>
    <row r="445" spans="1:24" ht="14.5" x14ac:dyDescent="0.35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</row>
    <row r="446" spans="1:24" ht="14.5" x14ac:dyDescent="0.35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</row>
    <row r="447" spans="1:24" ht="14.5" x14ac:dyDescent="0.35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</row>
    <row r="448" spans="1:24" ht="14.5" x14ac:dyDescent="0.35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</row>
    <row r="449" spans="1:24" ht="14.5" x14ac:dyDescent="0.35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</row>
    <row r="450" spans="1:24" ht="14.5" x14ac:dyDescent="0.35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</row>
    <row r="451" spans="1:24" ht="14.5" x14ac:dyDescent="0.35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</row>
    <row r="452" spans="1:24" ht="14.5" x14ac:dyDescent="0.35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</row>
    <row r="453" spans="1:24" ht="14.5" x14ac:dyDescent="0.35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</row>
    <row r="454" spans="1:24" ht="14.5" x14ac:dyDescent="0.35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</row>
    <row r="455" spans="1:24" ht="14.5" x14ac:dyDescent="0.35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</row>
    <row r="456" spans="1:24" ht="14.5" x14ac:dyDescent="0.35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</row>
    <row r="457" spans="1:24" ht="14.5" x14ac:dyDescent="0.35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</row>
    <row r="458" spans="1:24" ht="14.5" x14ac:dyDescent="0.35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</row>
    <row r="459" spans="1:24" ht="14.5" x14ac:dyDescent="0.35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</row>
    <row r="460" spans="1:24" ht="14.5" x14ac:dyDescent="0.35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</row>
    <row r="461" spans="1:24" ht="14.5" x14ac:dyDescent="0.35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</row>
    <row r="462" spans="1:24" ht="14.5" x14ac:dyDescent="0.3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</row>
    <row r="463" spans="1:24" ht="14.5" x14ac:dyDescent="0.3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</row>
    <row r="464" spans="1:24" ht="14.5" x14ac:dyDescent="0.3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</row>
    <row r="465" spans="1:24" ht="14.5" x14ac:dyDescent="0.3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</row>
    <row r="466" spans="1:24" ht="14.5" x14ac:dyDescent="0.3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</row>
    <row r="467" spans="1:24" ht="14.5" x14ac:dyDescent="0.3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</row>
    <row r="468" spans="1:24" ht="14.5" x14ac:dyDescent="0.3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</row>
    <row r="469" spans="1:24" ht="14.5" x14ac:dyDescent="0.3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</row>
    <row r="470" spans="1:24" ht="14.5" x14ac:dyDescent="0.3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</row>
    <row r="471" spans="1:24" ht="14.5" x14ac:dyDescent="0.3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</row>
    <row r="472" spans="1:24" ht="14.5" x14ac:dyDescent="0.3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</row>
    <row r="473" spans="1:24" ht="14.5" x14ac:dyDescent="0.35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</row>
    <row r="474" spans="1:24" ht="14.5" x14ac:dyDescent="0.35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</row>
    <row r="475" spans="1:24" ht="14.5" x14ac:dyDescent="0.35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</row>
    <row r="476" spans="1:24" ht="14.5" x14ac:dyDescent="0.3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</row>
    <row r="477" spans="1:24" ht="14.5" x14ac:dyDescent="0.3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</row>
    <row r="478" spans="1:24" ht="14.5" x14ac:dyDescent="0.3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</row>
    <row r="479" spans="1:24" ht="14.5" x14ac:dyDescent="0.35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</row>
    <row r="480" spans="1:24" ht="14.5" x14ac:dyDescent="0.35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</row>
    <row r="481" spans="1:24" ht="14.5" x14ac:dyDescent="0.35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</row>
    <row r="482" spans="1:24" ht="14.5" x14ac:dyDescent="0.3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</row>
    <row r="483" spans="1:24" ht="14.5" x14ac:dyDescent="0.3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</row>
    <row r="484" spans="1:24" ht="14.5" x14ac:dyDescent="0.3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</row>
    <row r="485" spans="1:24" ht="14.5" x14ac:dyDescent="0.35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</row>
    <row r="486" spans="1:24" ht="14.5" x14ac:dyDescent="0.35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</row>
    <row r="487" spans="1:24" ht="14.5" x14ac:dyDescent="0.35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</row>
    <row r="488" spans="1:24" ht="14.5" x14ac:dyDescent="0.3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</row>
    <row r="489" spans="1:24" ht="14.5" x14ac:dyDescent="0.3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</row>
    <row r="490" spans="1:24" ht="14.5" x14ac:dyDescent="0.3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</row>
    <row r="491" spans="1:24" ht="14.5" x14ac:dyDescent="0.35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</row>
    <row r="492" spans="1:24" ht="14.5" x14ac:dyDescent="0.35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</row>
    <row r="493" spans="1:24" ht="14.5" x14ac:dyDescent="0.3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</row>
    <row r="494" spans="1:24" ht="14.5" x14ac:dyDescent="0.3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</row>
    <row r="495" spans="1:24" ht="14.5" x14ac:dyDescent="0.35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</row>
    <row r="496" spans="1:24" ht="14.5" x14ac:dyDescent="0.3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</row>
    <row r="497" spans="1:24" ht="14.5" x14ac:dyDescent="0.35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</row>
    <row r="498" spans="1:24" ht="14.5" x14ac:dyDescent="0.3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</row>
    <row r="499" spans="1:24" ht="14.5" x14ac:dyDescent="0.35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</row>
    <row r="500" spans="1:24" ht="14.5" x14ac:dyDescent="0.3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</row>
    <row r="501" spans="1:24" ht="14.5" x14ac:dyDescent="0.3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</row>
    <row r="502" spans="1:24" ht="14.5" x14ac:dyDescent="0.3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</row>
    <row r="503" spans="1:24" ht="14.5" x14ac:dyDescent="0.35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</row>
    <row r="504" spans="1:24" ht="14.5" x14ac:dyDescent="0.35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</row>
    <row r="505" spans="1:24" ht="14.5" x14ac:dyDescent="0.35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</row>
    <row r="506" spans="1:24" ht="14.5" x14ac:dyDescent="0.3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</row>
    <row r="507" spans="1:24" ht="14.5" x14ac:dyDescent="0.3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</row>
    <row r="508" spans="1:24" ht="14.5" x14ac:dyDescent="0.3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</row>
    <row r="509" spans="1:24" ht="14.5" x14ac:dyDescent="0.35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</row>
    <row r="510" spans="1:24" ht="14.5" x14ac:dyDescent="0.35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</row>
    <row r="511" spans="1:24" ht="14.5" x14ac:dyDescent="0.35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</row>
    <row r="512" spans="1:24" ht="14.5" x14ac:dyDescent="0.3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</row>
    <row r="513" spans="1:24" ht="14.5" x14ac:dyDescent="0.3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</row>
    <row r="514" spans="1:24" ht="14.5" x14ac:dyDescent="0.3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</row>
    <row r="515" spans="1:24" ht="14.5" x14ac:dyDescent="0.35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</row>
    <row r="516" spans="1:24" ht="14.5" x14ac:dyDescent="0.35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</row>
    <row r="517" spans="1:24" ht="14.5" x14ac:dyDescent="0.35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</row>
    <row r="518" spans="1:24" ht="14.5" x14ac:dyDescent="0.3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</row>
    <row r="519" spans="1:24" ht="14.5" x14ac:dyDescent="0.3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</row>
    <row r="520" spans="1:24" ht="14.5" x14ac:dyDescent="0.3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</row>
    <row r="521" spans="1:24" ht="14.5" x14ac:dyDescent="0.35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</row>
    <row r="522" spans="1:24" ht="14.5" x14ac:dyDescent="0.35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</row>
    <row r="523" spans="1:24" ht="14.5" x14ac:dyDescent="0.35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</row>
    <row r="524" spans="1:24" ht="14.5" x14ac:dyDescent="0.3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</row>
    <row r="525" spans="1:24" ht="14.5" x14ac:dyDescent="0.3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</row>
    <row r="526" spans="1:24" ht="14.5" x14ac:dyDescent="0.3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</row>
    <row r="527" spans="1:24" ht="14.5" x14ac:dyDescent="0.35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</row>
    <row r="528" spans="1:24" ht="14.5" x14ac:dyDescent="0.35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</row>
    <row r="529" spans="1:24" ht="14.5" x14ac:dyDescent="0.35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</row>
    <row r="530" spans="1:24" ht="14.5" x14ac:dyDescent="0.35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</row>
    <row r="531" spans="1:24" ht="14.5" x14ac:dyDescent="0.35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</row>
    <row r="532" spans="1:24" ht="14.5" x14ac:dyDescent="0.35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</row>
    <row r="533" spans="1:24" ht="14.5" x14ac:dyDescent="0.35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</row>
    <row r="534" spans="1:24" ht="14.5" x14ac:dyDescent="0.35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</row>
    <row r="535" spans="1:24" ht="14.5" x14ac:dyDescent="0.35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</row>
    <row r="536" spans="1:24" ht="14.5" x14ac:dyDescent="0.35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</row>
    <row r="537" spans="1:24" ht="14.5" x14ac:dyDescent="0.35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</row>
    <row r="538" spans="1:24" ht="14.5" x14ac:dyDescent="0.35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</row>
    <row r="539" spans="1:24" ht="14.5" x14ac:dyDescent="0.35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</row>
    <row r="540" spans="1:24" ht="14.5" x14ac:dyDescent="0.35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</row>
    <row r="541" spans="1:24" ht="14.5" x14ac:dyDescent="0.35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</row>
    <row r="542" spans="1:24" ht="14.5" x14ac:dyDescent="0.35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</row>
    <row r="543" spans="1:24" ht="14.5" x14ac:dyDescent="0.35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</row>
    <row r="544" spans="1:24" ht="14.5" x14ac:dyDescent="0.35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</row>
    <row r="545" spans="1:24" ht="14.5" x14ac:dyDescent="0.3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</row>
    <row r="546" spans="1:24" ht="14.5" x14ac:dyDescent="0.3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</row>
    <row r="547" spans="1:24" ht="14.5" x14ac:dyDescent="0.3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</row>
    <row r="548" spans="1:24" ht="14.5" x14ac:dyDescent="0.3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</row>
    <row r="549" spans="1:24" ht="14.5" x14ac:dyDescent="0.3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</row>
    <row r="550" spans="1:24" ht="14.5" x14ac:dyDescent="0.3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</row>
    <row r="551" spans="1:24" ht="14.5" x14ac:dyDescent="0.3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</row>
    <row r="552" spans="1:24" ht="14.5" x14ac:dyDescent="0.3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</row>
    <row r="553" spans="1:24" ht="14.5" x14ac:dyDescent="0.3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</row>
    <row r="554" spans="1:24" ht="14.5" x14ac:dyDescent="0.3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</row>
    <row r="555" spans="1:24" ht="14.5" x14ac:dyDescent="0.3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</row>
    <row r="556" spans="1:24" ht="14.5" x14ac:dyDescent="0.3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</row>
    <row r="557" spans="1:24" ht="14.5" x14ac:dyDescent="0.3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</row>
    <row r="558" spans="1:24" ht="14.5" x14ac:dyDescent="0.3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</row>
    <row r="559" spans="1:24" ht="14.5" x14ac:dyDescent="0.3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</row>
    <row r="560" spans="1:24" ht="14.5" x14ac:dyDescent="0.3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</row>
    <row r="561" spans="1:24" ht="14.5" x14ac:dyDescent="0.3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</row>
    <row r="562" spans="1:24" ht="14.5" x14ac:dyDescent="0.3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</row>
    <row r="563" spans="1:24" ht="14.5" x14ac:dyDescent="0.3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</row>
    <row r="564" spans="1:24" ht="14.5" x14ac:dyDescent="0.3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</row>
    <row r="565" spans="1:24" ht="14.5" x14ac:dyDescent="0.3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</row>
    <row r="566" spans="1:24" ht="14.5" x14ac:dyDescent="0.3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</row>
    <row r="567" spans="1:24" ht="14.5" x14ac:dyDescent="0.3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</row>
    <row r="568" spans="1:24" ht="14.5" x14ac:dyDescent="0.3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</row>
    <row r="569" spans="1:24" ht="14.5" x14ac:dyDescent="0.3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</row>
    <row r="570" spans="1:24" ht="14.5" x14ac:dyDescent="0.3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</row>
    <row r="571" spans="1:24" ht="14.5" x14ac:dyDescent="0.3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</row>
    <row r="572" spans="1:24" ht="14.5" x14ac:dyDescent="0.3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</row>
    <row r="573" spans="1:24" ht="14.5" x14ac:dyDescent="0.3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</row>
    <row r="574" spans="1:24" ht="14.5" x14ac:dyDescent="0.3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</row>
    <row r="575" spans="1:24" ht="14.5" x14ac:dyDescent="0.3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</row>
    <row r="576" spans="1:24" ht="14.5" x14ac:dyDescent="0.3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</row>
    <row r="577" spans="1:24" ht="14.5" x14ac:dyDescent="0.3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</row>
    <row r="578" spans="1:24" ht="14.5" x14ac:dyDescent="0.3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</row>
    <row r="579" spans="1:24" ht="14.5" x14ac:dyDescent="0.3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</row>
    <row r="580" spans="1:24" ht="14.5" x14ac:dyDescent="0.3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</row>
    <row r="581" spans="1:24" ht="14.5" x14ac:dyDescent="0.3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</row>
    <row r="582" spans="1:24" ht="14.5" x14ac:dyDescent="0.3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</row>
    <row r="583" spans="1:24" ht="14.5" x14ac:dyDescent="0.3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</row>
    <row r="584" spans="1:24" ht="14.5" x14ac:dyDescent="0.3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</row>
    <row r="585" spans="1:24" ht="14.5" x14ac:dyDescent="0.3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</row>
    <row r="586" spans="1:24" ht="14.5" x14ac:dyDescent="0.3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</row>
    <row r="587" spans="1:24" ht="14.5" x14ac:dyDescent="0.3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</row>
    <row r="588" spans="1:24" ht="14.5" x14ac:dyDescent="0.3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</row>
    <row r="589" spans="1:24" ht="14.5" x14ac:dyDescent="0.3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</row>
    <row r="590" spans="1:24" ht="14.5" x14ac:dyDescent="0.3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</row>
    <row r="591" spans="1:24" ht="14.5" x14ac:dyDescent="0.3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</row>
    <row r="592" spans="1:24" ht="14.5" x14ac:dyDescent="0.3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</row>
    <row r="593" spans="1:24" ht="14.5" x14ac:dyDescent="0.3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</row>
    <row r="594" spans="1:24" ht="14.5" x14ac:dyDescent="0.3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</row>
    <row r="595" spans="1:24" ht="14.5" x14ac:dyDescent="0.3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</row>
    <row r="596" spans="1:24" ht="14.5" x14ac:dyDescent="0.3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</row>
    <row r="597" spans="1:24" ht="14.5" x14ac:dyDescent="0.3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</row>
    <row r="598" spans="1:24" ht="14.5" x14ac:dyDescent="0.3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</row>
    <row r="599" spans="1:24" ht="14.5" x14ac:dyDescent="0.3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</row>
    <row r="600" spans="1:24" ht="14.5" x14ac:dyDescent="0.35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</row>
    <row r="601" spans="1:24" ht="14.5" x14ac:dyDescent="0.35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</row>
    <row r="602" spans="1:24" ht="14.5" x14ac:dyDescent="0.35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</row>
    <row r="603" spans="1:24" ht="14.5" x14ac:dyDescent="0.35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</row>
    <row r="604" spans="1:24" ht="14.5" x14ac:dyDescent="0.35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</row>
    <row r="605" spans="1:24" ht="14.5" x14ac:dyDescent="0.35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</row>
    <row r="606" spans="1:24" ht="14.5" x14ac:dyDescent="0.35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</row>
    <row r="607" spans="1:24" ht="14.5" x14ac:dyDescent="0.35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</row>
    <row r="608" spans="1:24" ht="14.5" x14ac:dyDescent="0.35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</row>
    <row r="609" spans="1:24" ht="14.5" x14ac:dyDescent="0.35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</row>
    <row r="610" spans="1:24" ht="14.5" x14ac:dyDescent="0.35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</row>
    <row r="611" spans="1:24" ht="14.5" x14ac:dyDescent="0.35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</row>
    <row r="612" spans="1:24" ht="14.5" x14ac:dyDescent="0.35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</row>
    <row r="613" spans="1:24" ht="14.5" x14ac:dyDescent="0.35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</row>
    <row r="614" spans="1:24" ht="14.5" x14ac:dyDescent="0.35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</row>
    <row r="615" spans="1:24" ht="14.5" x14ac:dyDescent="0.3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</row>
    <row r="616" spans="1:24" ht="14.5" x14ac:dyDescent="0.3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</row>
    <row r="617" spans="1:24" ht="14.5" x14ac:dyDescent="0.3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</row>
    <row r="618" spans="1:24" ht="14.5" x14ac:dyDescent="0.3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</row>
    <row r="619" spans="1:24" ht="14.5" x14ac:dyDescent="0.3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</row>
    <row r="620" spans="1:24" ht="14.5" x14ac:dyDescent="0.3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</row>
    <row r="621" spans="1:24" ht="14.5" x14ac:dyDescent="0.3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</row>
    <row r="622" spans="1:24" ht="14.5" x14ac:dyDescent="0.3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</row>
    <row r="623" spans="1:24" ht="14.5" x14ac:dyDescent="0.3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</row>
    <row r="624" spans="1:24" ht="14.5" x14ac:dyDescent="0.3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</row>
    <row r="625" spans="1:24" ht="14.5" x14ac:dyDescent="0.3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</row>
    <row r="626" spans="1:24" ht="14.5" x14ac:dyDescent="0.3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</row>
    <row r="627" spans="1:24" ht="14.5" x14ac:dyDescent="0.3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</row>
    <row r="628" spans="1:24" ht="14.5" x14ac:dyDescent="0.3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</row>
    <row r="629" spans="1:24" ht="14.5" x14ac:dyDescent="0.3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</row>
    <row r="630" spans="1:24" ht="14.5" x14ac:dyDescent="0.3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</row>
    <row r="631" spans="1:24" ht="14.5" x14ac:dyDescent="0.3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</row>
    <row r="632" spans="1:24" ht="14.5" x14ac:dyDescent="0.3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</row>
    <row r="633" spans="1:24" ht="14.5" x14ac:dyDescent="0.3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</row>
    <row r="634" spans="1:24" ht="14.5" x14ac:dyDescent="0.3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</row>
    <row r="635" spans="1:24" ht="14.5" x14ac:dyDescent="0.3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</row>
    <row r="636" spans="1:24" ht="14.5" x14ac:dyDescent="0.3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</row>
    <row r="637" spans="1:24" ht="14.5" x14ac:dyDescent="0.3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</row>
    <row r="638" spans="1:24" ht="14.5" x14ac:dyDescent="0.3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</row>
    <row r="639" spans="1:24" ht="14.5" x14ac:dyDescent="0.3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</row>
    <row r="640" spans="1:24" ht="14.5" x14ac:dyDescent="0.3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</row>
    <row r="641" spans="1:24" ht="14.5" x14ac:dyDescent="0.3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</row>
    <row r="642" spans="1:24" ht="14.5" x14ac:dyDescent="0.3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</row>
    <row r="643" spans="1:24" ht="14.5" x14ac:dyDescent="0.3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</row>
    <row r="644" spans="1:24" ht="14.5" x14ac:dyDescent="0.3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</row>
    <row r="645" spans="1:24" ht="14.5" x14ac:dyDescent="0.3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</row>
    <row r="646" spans="1:24" ht="14.5" x14ac:dyDescent="0.3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</row>
    <row r="647" spans="1:24" ht="14.5" x14ac:dyDescent="0.3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</row>
    <row r="648" spans="1:24" ht="14.5" x14ac:dyDescent="0.3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</row>
    <row r="649" spans="1:24" ht="14.5" x14ac:dyDescent="0.3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</row>
    <row r="650" spans="1:24" ht="14.5" x14ac:dyDescent="0.3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</row>
    <row r="651" spans="1:24" ht="14.5" x14ac:dyDescent="0.35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</row>
    <row r="652" spans="1:24" ht="14.5" x14ac:dyDescent="0.35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</row>
    <row r="653" spans="1:24" ht="14.5" x14ac:dyDescent="0.35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</row>
    <row r="654" spans="1:24" ht="14.5" x14ac:dyDescent="0.35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</row>
    <row r="655" spans="1:24" ht="14.5" x14ac:dyDescent="0.35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</row>
    <row r="656" spans="1:24" ht="14.5" x14ac:dyDescent="0.35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</row>
    <row r="657" spans="1:24" ht="14.5" x14ac:dyDescent="0.35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</row>
    <row r="658" spans="1:24" ht="14.5" x14ac:dyDescent="0.35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</row>
    <row r="659" spans="1:24" ht="14.5" x14ac:dyDescent="0.35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</row>
    <row r="660" spans="1:24" ht="14.5" x14ac:dyDescent="0.35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</row>
    <row r="661" spans="1:24" ht="14.5" x14ac:dyDescent="0.35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</row>
    <row r="662" spans="1:24" ht="14.5" x14ac:dyDescent="0.35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</row>
    <row r="663" spans="1:24" ht="14.5" x14ac:dyDescent="0.35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</row>
    <row r="664" spans="1:24" ht="14.5" x14ac:dyDescent="0.35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</row>
    <row r="665" spans="1:24" ht="14.5" x14ac:dyDescent="0.35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</row>
    <row r="666" spans="1:24" ht="14.5" x14ac:dyDescent="0.35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</row>
    <row r="667" spans="1:24" ht="14.5" x14ac:dyDescent="0.35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</row>
    <row r="668" spans="1:24" ht="14.5" x14ac:dyDescent="0.35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</row>
    <row r="669" spans="1:24" ht="14.5" x14ac:dyDescent="0.35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</row>
    <row r="670" spans="1:24" ht="14.5" x14ac:dyDescent="0.35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</row>
    <row r="671" spans="1:24" ht="14.5" x14ac:dyDescent="0.35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</row>
    <row r="672" spans="1:24" ht="14.5" x14ac:dyDescent="0.3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</row>
    <row r="673" spans="1:24" ht="14.5" x14ac:dyDescent="0.3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</row>
    <row r="674" spans="1:24" ht="14.5" x14ac:dyDescent="0.3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</row>
    <row r="675" spans="1:24" ht="14.5" x14ac:dyDescent="0.3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</row>
    <row r="676" spans="1:24" ht="14.5" x14ac:dyDescent="0.3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</row>
    <row r="677" spans="1:24" ht="14.5" x14ac:dyDescent="0.3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</row>
    <row r="678" spans="1:24" ht="14.5" x14ac:dyDescent="0.3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</row>
    <row r="679" spans="1:24" ht="14.5" x14ac:dyDescent="0.3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</row>
    <row r="680" spans="1:24" ht="14.5" x14ac:dyDescent="0.3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</row>
    <row r="681" spans="1:24" ht="14.5" x14ac:dyDescent="0.3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</row>
    <row r="682" spans="1:24" ht="14.5" x14ac:dyDescent="0.3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</row>
    <row r="683" spans="1:24" ht="14.5" x14ac:dyDescent="0.3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</row>
    <row r="684" spans="1:24" ht="14.5" x14ac:dyDescent="0.3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</row>
    <row r="685" spans="1:24" ht="14.5" x14ac:dyDescent="0.3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</row>
    <row r="686" spans="1:24" ht="14.5" x14ac:dyDescent="0.3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</row>
    <row r="687" spans="1:24" ht="14.5" x14ac:dyDescent="0.3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</row>
    <row r="688" spans="1:24" ht="14.5" x14ac:dyDescent="0.3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</row>
    <row r="689" spans="1:24" ht="14.5" x14ac:dyDescent="0.3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</row>
    <row r="690" spans="1:24" ht="14.5" x14ac:dyDescent="0.3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</row>
    <row r="691" spans="1:24" ht="14.5" x14ac:dyDescent="0.3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</row>
    <row r="692" spans="1:24" ht="14.5" x14ac:dyDescent="0.3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</row>
    <row r="693" spans="1:24" ht="14.5" x14ac:dyDescent="0.3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</row>
    <row r="694" spans="1:24" ht="14.5" x14ac:dyDescent="0.3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</row>
    <row r="695" spans="1:24" ht="14.5" x14ac:dyDescent="0.3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</row>
    <row r="696" spans="1:24" ht="14.5" x14ac:dyDescent="0.3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</row>
    <row r="697" spans="1:24" ht="14.5" x14ac:dyDescent="0.3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</row>
    <row r="698" spans="1:24" ht="14.5" x14ac:dyDescent="0.3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</row>
    <row r="699" spans="1:24" ht="14.5" x14ac:dyDescent="0.3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</row>
    <row r="700" spans="1:24" ht="14.5" x14ac:dyDescent="0.3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</row>
    <row r="701" spans="1:24" ht="14.5" x14ac:dyDescent="0.3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</row>
    <row r="702" spans="1:24" ht="14.5" x14ac:dyDescent="0.3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</row>
    <row r="703" spans="1:24" ht="14.5" x14ac:dyDescent="0.3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</row>
    <row r="704" spans="1:24" ht="14.5" x14ac:dyDescent="0.3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</row>
    <row r="705" spans="1:24" ht="14.5" x14ac:dyDescent="0.3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</row>
    <row r="706" spans="1:24" ht="14.5" x14ac:dyDescent="0.3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</row>
    <row r="707" spans="1:24" ht="14.5" x14ac:dyDescent="0.3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</row>
    <row r="708" spans="1:24" ht="14.5" x14ac:dyDescent="0.3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</row>
    <row r="709" spans="1:24" ht="14.5" x14ac:dyDescent="0.3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</row>
    <row r="710" spans="1:24" ht="14.5" x14ac:dyDescent="0.3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</row>
    <row r="711" spans="1:24" ht="14.5" x14ac:dyDescent="0.3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</row>
    <row r="712" spans="1:24" ht="14.5" x14ac:dyDescent="0.3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</row>
    <row r="713" spans="1:24" ht="14.5" x14ac:dyDescent="0.3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</row>
    <row r="714" spans="1:24" ht="14.5" x14ac:dyDescent="0.3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</row>
    <row r="715" spans="1:24" ht="14.5" x14ac:dyDescent="0.3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</row>
    <row r="716" spans="1:24" ht="14.5" x14ac:dyDescent="0.3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</row>
    <row r="717" spans="1:24" ht="14.5" x14ac:dyDescent="0.3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</row>
    <row r="718" spans="1:24" ht="14.5" x14ac:dyDescent="0.3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</row>
    <row r="719" spans="1:24" ht="14.5" x14ac:dyDescent="0.3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</row>
    <row r="720" spans="1:24" ht="14.5" x14ac:dyDescent="0.3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</row>
    <row r="721" spans="1:24" ht="14.5" x14ac:dyDescent="0.3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</row>
    <row r="722" spans="1:24" ht="14.5" x14ac:dyDescent="0.3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</row>
    <row r="723" spans="1:24" ht="14.5" x14ac:dyDescent="0.3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</row>
    <row r="724" spans="1:24" ht="14.5" x14ac:dyDescent="0.3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</row>
    <row r="725" spans="1:24" ht="14.5" x14ac:dyDescent="0.3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</row>
    <row r="726" spans="1:24" ht="14.5" x14ac:dyDescent="0.3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</row>
    <row r="727" spans="1:24" ht="14.5" x14ac:dyDescent="0.3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</row>
    <row r="728" spans="1:24" ht="14.5" x14ac:dyDescent="0.3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</row>
    <row r="729" spans="1:24" ht="14.5" x14ac:dyDescent="0.3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</row>
    <row r="730" spans="1:24" ht="14.5" x14ac:dyDescent="0.3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</row>
    <row r="731" spans="1:24" ht="14.5" x14ac:dyDescent="0.3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</row>
    <row r="732" spans="1:24" ht="14.5" x14ac:dyDescent="0.3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</row>
    <row r="733" spans="1:24" ht="14.5" x14ac:dyDescent="0.3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</row>
    <row r="734" spans="1:24" ht="14.5" x14ac:dyDescent="0.3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</row>
    <row r="735" spans="1:24" ht="14.5" x14ac:dyDescent="0.3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</row>
    <row r="736" spans="1:24" ht="14.5" x14ac:dyDescent="0.3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</row>
    <row r="737" spans="1:24" ht="14.5" x14ac:dyDescent="0.3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</row>
    <row r="738" spans="1:24" ht="14.5" x14ac:dyDescent="0.3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</row>
    <row r="739" spans="1:24" ht="14.5" x14ac:dyDescent="0.3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</row>
    <row r="740" spans="1:24" ht="14.5" x14ac:dyDescent="0.3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</row>
    <row r="741" spans="1:24" ht="14.5" x14ac:dyDescent="0.3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</row>
    <row r="742" spans="1:24" ht="14.5" x14ac:dyDescent="0.3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</row>
    <row r="743" spans="1:24" ht="14.5" x14ac:dyDescent="0.35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</row>
    <row r="744" spans="1:24" ht="14.5" x14ac:dyDescent="0.35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</row>
    <row r="745" spans="1:24" ht="14.5" x14ac:dyDescent="0.35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</row>
    <row r="746" spans="1:24" ht="14.5" x14ac:dyDescent="0.35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</row>
    <row r="747" spans="1:24" ht="14.5" x14ac:dyDescent="0.3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</row>
    <row r="748" spans="1:24" ht="14.5" x14ac:dyDescent="0.35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</row>
    <row r="749" spans="1:24" ht="14.5" x14ac:dyDescent="0.35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</row>
    <row r="750" spans="1:24" ht="14.5" x14ac:dyDescent="0.35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</row>
    <row r="751" spans="1:24" ht="14.5" x14ac:dyDescent="0.35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</row>
    <row r="752" spans="1:24" ht="14.5" x14ac:dyDescent="0.35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</row>
    <row r="753" spans="1:24" ht="14.5" x14ac:dyDescent="0.35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</row>
    <row r="754" spans="1:24" ht="14.5" x14ac:dyDescent="0.35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</row>
    <row r="755" spans="1:24" ht="14.5" x14ac:dyDescent="0.35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</row>
    <row r="756" spans="1:24" ht="14.5" x14ac:dyDescent="0.35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</row>
    <row r="757" spans="1:24" ht="14.5" x14ac:dyDescent="0.35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</row>
    <row r="758" spans="1:24" ht="14.5" x14ac:dyDescent="0.35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</row>
    <row r="759" spans="1:24" ht="14.5" x14ac:dyDescent="0.35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</row>
    <row r="760" spans="1:24" ht="14.5" x14ac:dyDescent="0.35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</row>
    <row r="761" spans="1:24" ht="14.5" x14ac:dyDescent="0.35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</row>
    <row r="762" spans="1:24" ht="14.5" x14ac:dyDescent="0.35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</row>
    <row r="763" spans="1:24" ht="14.5" x14ac:dyDescent="0.35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</row>
    <row r="764" spans="1:24" ht="14.5" x14ac:dyDescent="0.35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</row>
    <row r="765" spans="1:24" ht="14.5" x14ac:dyDescent="0.35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</row>
    <row r="766" spans="1:24" ht="14.5" x14ac:dyDescent="0.35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</row>
    <row r="767" spans="1:24" ht="14.5" x14ac:dyDescent="0.35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</row>
    <row r="768" spans="1:24" ht="14.5" x14ac:dyDescent="0.35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</row>
    <row r="769" spans="1:24" ht="14.5" x14ac:dyDescent="0.35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</row>
    <row r="770" spans="1:24" ht="14.5" x14ac:dyDescent="0.35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</row>
    <row r="771" spans="1:24" ht="14.5" x14ac:dyDescent="0.35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</row>
    <row r="772" spans="1:24" ht="14.5" x14ac:dyDescent="0.35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</row>
    <row r="773" spans="1:24" ht="14.5" x14ac:dyDescent="0.35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</row>
    <row r="774" spans="1:24" ht="14.5" x14ac:dyDescent="0.35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</row>
    <row r="775" spans="1:24" ht="14.5" x14ac:dyDescent="0.35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</row>
    <row r="776" spans="1:24" ht="14.5" x14ac:dyDescent="0.35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</row>
    <row r="777" spans="1:24" ht="14.5" x14ac:dyDescent="0.35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</row>
    <row r="778" spans="1:24" ht="14.5" x14ac:dyDescent="0.35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</row>
    <row r="779" spans="1:24" ht="14.5" x14ac:dyDescent="0.35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</row>
    <row r="780" spans="1:24" ht="14.5" x14ac:dyDescent="0.35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</row>
    <row r="781" spans="1:24" ht="14.5" x14ac:dyDescent="0.35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</row>
    <row r="782" spans="1:24" ht="14.5" x14ac:dyDescent="0.35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</row>
    <row r="783" spans="1:24" ht="14.5" x14ac:dyDescent="0.35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</row>
    <row r="784" spans="1:24" ht="14.5" x14ac:dyDescent="0.35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</row>
    <row r="785" spans="1:24" ht="14.5" x14ac:dyDescent="0.35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</row>
    <row r="786" spans="1:24" ht="14.5" x14ac:dyDescent="0.35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</row>
    <row r="787" spans="1:24" ht="14.5" x14ac:dyDescent="0.35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</row>
    <row r="788" spans="1:24" ht="14.5" x14ac:dyDescent="0.35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</row>
    <row r="789" spans="1:24" ht="14.5" x14ac:dyDescent="0.35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</row>
    <row r="790" spans="1:24" ht="14.5" x14ac:dyDescent="0.35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</row>
    <row r="791" spans="1:24" ht="14.5" x14ac:dyDescent="0.35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</row>
    <row r="792" spans="1:24" ht="14.5" x14ac:dyDescent="0.35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</row>
    <row r="793" spans="1:24" ht="14.5" x14ac:dyDescent="0.35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</row>
    <row r="794" spans="1:24" ht="14.5" x14ac:dyDescent="0.35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</row>
    <row r="795" spans="1:24" ht="14.5" x14ac:dyDescent="0.35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</row>
    <row r="796" spans="1:24" ht="14.5" x14ac:dyDescent="0.35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</row>
    <row r="797" spans="1:24" ht="14.5" x14ac:dyDescent="0.35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</row>
    <row r="798" spans="1:24" ht="14.5" x14ac:dyDescent="0.35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</row>
    <row r="799" spans="1:24" ht="14.5" x14ac:dyDescent="0.35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</row>
    <row r="800" spans="1:24" ht="14.5" x14ac:dyDescent="0.35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</row>
    <row r="801" spans="1:24" ht="14.5" x14ac:dyDescent="0.35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</row>
    <row r="802" spans="1:24" ht="14.5" x14ac:dyDescent="0.35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</row>
    <row r="803" spans="1:24" ht="14.5" x14ac:dyDescent="0.35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</row>
    <row r="804" spans="1:24" ht="14.5" x14ac:dyDescent="0.35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</row>
    <row r="805" spans="1:24" ht="14.5" x14ac:dyDescent="0.35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</row>
    <row r="806" spans="1:24" ht="14.5" x14ac:dyDescent="0.35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</row>
    <row r="807" spans="1:24" ht="14.5" x14ac:dyDescent="0.35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</row>
    <row r="808" spans="1:24" ht="14.5" x14ac:dyDescent="0.35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</row>
    <row r="809" spans="1:24" ht="14.5" x14ac:dyDescent="0.35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</row>
    <row r="810" spans="1:24" ht="14.5" x14ac:dyDescent="0.35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</row>
    <row r="811" spans="1:24" ht="14.5" x14ac:dyDescent="0.35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</row>
    <row r="812" spans="1:24" ht="14.5" x14ac:dyDescent="0.35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</row>
    <row r="813" spans="1:24" ht="14.5" x14ac:dyDescent="0.35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</row>
    <row r="814" spans="1:24" ht="14.5" x14ac:dyDescent="0.35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</row>
    <row r="815" spans="1:24" ht="14.5" x14ac:dyDescent="0.35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</row>
    <row r="816" spans="1:24" ht="14.5" x14ac:dyDescent="0.35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</row>
    <row r="817" spans="1:24" ht="14.5" x14ac:dyDescent="0.35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</row>
    <row r="818" spans="1:24" ht="14.5" x14ac:dyDescent="0.35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</row>
    <row r="819" spans="1:24" ht="14.5" x14ac:dyDescent="0.35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</row>
    <row r="820" spans="1:24" ht="14.5" x14ac:dyDescent="0.3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</row>
    <row r="821" spans="1:24" ht="14.5" x14ac:dyDescent="0.3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</row>
    <row r="822" spans="1:24" ht="14.5" x14ac:dyDescent="0.3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</row>
    <row r="823" spans="1:24" ht="14.5" x14ac:dyDescent="0.3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</row>
    <row r="824" spans="1:24" ht="14.5" x14ac:dyDescent="0.3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</row>
    <row r="825" spans="1:24" ht="14.5" x14ac:dyDescent="0.3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</row>
    <row r="826" spans="1:24" ht="14.5" x14ac:dyDescent="0.3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</row>
    <row r="827" spans="1:24" ht="14.5" x14ac:dyDescent="0.3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</row>
    <row r="828" spans="1:24" ht="14.5" x14ac:dyDescent="0.3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</row>
    <row r="829" spans="1:24" ht="14.5" x14ac:dyDescent="0.3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</row>
    <row r="830" spans="1:24" ht="14.5" x14ac:dyDescent="0.3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</row>
    <row r="831" spans="1:24" ht="14.5" x14ac:dyDescent="0.3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</row>
    <row r="832" spans="1:24" ht="14.5" x14ac:dyDescent="0.35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</row>
    <row r="833" spans="1:24" ht="14.5" x14ac:dyDescent="0.35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</row>
    <row r="834" spans="1:24" ht="14.5" x14ac:dyDescent="0.35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</row>
    <row r="835" spans="1:24" ht="14.5" x14ac:dyDescent="0.35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</row>
    <row r="836" spans="1:24" ht="14.5" x14ac:dyDescent="0.35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</row>
    <row r="837" spans="1:24" ht="14.5" x14ac:dyDescent="0.35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</row>
    <row r="838" spans="1:24" ht="14.5" x14ac:dyDescent="0.35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</row>
    <row r="839" spans="1:24" ht="14.5" x14ac:dyDescent="0.35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</row>
    <row r="840" spans="1:24" ht="14.5" x14ac:dyDescent="0.35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</row>
    <row r="841" spans="1:24" ht="14.5" x14ac:dyDescent="0.35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</row>
    <row r="842" spans="1:24" ht="14.5" x14ac:dyDescent="0.35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</row>
    <row r="843" spans="1:24" ht="14.5" x14ac:dyDescent="0.35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</row>
    <row r="844" spans="1:24" ht="14.5" x14ac:dyDescent="0.35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</row>
    <row r="845" spans="1:24" ht="14.5" x14ac:dyDescent="0.35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</row>
    <row r="846" spans="1:24" ht="14.5" x14ac:dyDescent="0.35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</row>
    <row r="847" spans="1:24" ht="14.5" x14ac:dyDescent="0.35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</row>
    <row r="848" spans="1:24" ht="14.5" x14ac:dyDescent="0.35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</row>
    <row r="849" spans="1:24" ht="14.5" x14ac:dyDescent="0.35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</row>
    <row r="850" spans="1:24" ht="14.5" x14ac:dyDescent="0.35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</row>
    <row r="851" spans="1:24" ht="14.5" x14ac:dyDescent="0.35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</row>
    <row r="852" spans="1:24" ht="14.5" x14ac:dyDescent="0.35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</row>
    <row r="853" spans="1:24" ht="14.5" x14ac:dyDescent="0.35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</row>
    <row r="854" spans="1:24" ht="14.5" x14ac:dyDescent="0.35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</row>
    <row r="855" spans="1:24" ht="14.5" x14ac:dyDescent="0.35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</row>
    <row r="856" spans="1:24" ht="14.5" x14ac:dyDescent="0.35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</row>
    <row r="857" spans="1:24" ht="14.5" x14ac:dyDescent="0.35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</row>
    <row r="858" spans="1:24" ht="14.5" x14ac:dyDescent="0.35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</row>
    <row r="859" spans="1:24" ht="14.5" x14ac:dyDescent="0.35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</row>
    <row r="860" spans="1:24" ht="14.5" x14ac:dyDescent="0.35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</row>
    <row r="861" spans="1:24" ht="14.5" x14ac:dyDescent="0.35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</row>
    <row r="862" spans="1:24" ht="14.5" x14ac:dyDescent="0.35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</row>
    <row r="863" spans="1:24" ht="14.5" x14ac:dyDescent="0.35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</row>
    <row r="864" spans="1:24" ht="14.5" x14ac:dyDescent="0.35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</row>
    <row r="865" spans="1:24" ht="14.5" x14ac:dyDescent="0.35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</row>
    <row r="866" spans="1:24" ht="14.5" x14ac:dyDescent="0.35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</row>
    <row r="867" spans="1:24" ht="14.5" x14ac:dyDescent="0.35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</row>
    <row r="868" spans="1:24" ht="14.5" x14ac:dyDescent="0.35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</row>
    <row r="869" spans="1:24" ht="14.5" x14ac:dyDescent="0.35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</row>
    <row r="870" spans="1:24" ht="14.5" x14ac:dyDescent="0.35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</row>
    <row r="871" spans="1:24" ht="14.5" x14ac:dyDescent="0.35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</row>
    <row r="872" spans="1:24" ht="14.5" x14ac:dyDescent="0.35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</row>
    <row r="873" spans="1:24" ht="14.5" x14ac:dyDescent="0.35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</row>
    <row r="874" spans="1:24" ht="14.5" x14ac:dyDescent="0.35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</row>
    <row r="875" spans="1:24" ht="14.5" x14ac:dyDescent="0.35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</row>
    <row r="876" spans="1:24" ht="14.5" x14ac:dyDescent="0.35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</row>
    <row r="877" spans="1:24" ht="14.5" x14ac:dyDescent="0.35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</row>
    <row r="878" spans="1:24" ht="14.5" x14ac:dyDescent="0.35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</row>
    <row r="879" spans="1:24" ht="14.5" x14ac:dyDescent="0.35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</row>
    <row r="880" spans="1:24" ht="14.5" x14ac:dyDescent="0.35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</row>
    <row r="881" spans="1:24" ht="14.5" x14ac:dyDescent="0.35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</row>
    <row r="882" spans="1:24" ht="14.5" x14ac:dyDescent="0.35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</row>
    <row r="883" spans="1:24" ht="14.5" x14ac:dyDescent="0.35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</row>
    <row r="884" spans="1:24" ht="14.5" x14ac:dyDescent="0.35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</row>
    <row r="885" spans="1:24" ht="14.5" x14ac:dyDescent="0.35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</row>
    <row r="886" spans="1:24" ht="14.5" x14ac:dyDescent="0.35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</row>
    <row r="887" spans="1:24" ht="14.5" x14ac:dyDescent="0.35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</row>
    <row r="888" spans="1:24" ht="14.5" x14ac:dyDescent="0.35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</row>
    <row r="889" spans="1:24" ht="14.5" x14ac:dyDescent="0.35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</row>
    <row r="890" spans="1:24" ht="14.5" x14ac:dyDescent="0.35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</row>
    <row r="891" spans="1:24" ht="14.5" x14ac:dyDescent="0.35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</row>
    <row r="892" spans="1:24" ht="14.5" x14ac:dyDescent="0.35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</row>
    <row r="893" spans="1:24" ht="14.5" x14ac:dyDescent="0.3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</row>
    <row r="894" spans="1:24" ht="14.5" x14ac:dyDescent="0.35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</row>
    <row r="895" spans="1:24" ht="14.5" x14ac:dyDescent="0.35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</row>
    <row r="896" spans="1:24" ht="14.5" x14ac:dyDescent="0.35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</row>
    <row r="897" spans="1:24" ht="14.5" x14ac:dyDescent="0.35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</row>
    <row r="898" spans="1:24" ht="14.5" x14ac:dyDescent="0.35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</row>
    <row r="899" spans="1:24" ht="14.5" x14ac:dyDescent="0.35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</row>
    <row r="900" spans="1:24" ht="14.5" x14ac:dyDescent="0.35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</row>
    <row r="901" spans="1:24" ht="14.5" x14ac:dyDescent="0.35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</row>
    <row r="902" spans="1:24" ht="14.5" x14ac:dyDescent="0.35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</row>
    <row r="903" spans="1:24" ht="14.5" x14ac:dyDescent="0.35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</row>
    <row r="904" spans="1:24" ht="14.5" x14ac:dyDescent="0.35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</row>
    <row r="905" spans="1:24" ht="14.5" x14ac:dyDescent="0.35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</row>
    <row r="906" spans="1:24" ht="14.5" x14ac:dyDescent="0.35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</row>
    <row r="907" spans="1:24" ht="14.5" x14ac:dyDescent="0.35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</row>
    <row r="908" spans="1:24" ht="14.5" x14ac:dyDescent="0.35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</row>
    <row r="909" spans="1:24" ht="14.5" x14ac:dyDescent="0.35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</row>
    <row r="910" spans="1:24" ht="14.5" x14ac:dyDescent="0.35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</row>
    <row r="911" spans="1:24" ht="14.5" x14ac:dyDescent="0.35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</row>
    <row r="912" spans="1:24" ht="14.5" x14ac:dyDescent="0.35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</row>
    <row r="913" spans="1:24" ht="14.5" x14ac:dyDescent="0.35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</row>
    <row r="914" spans="1:24" ht="14.5" x14ac:dyDescent="0.35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</row>
    <row r="915" spans="1:24" ht="14.5" x14ac:dyDescent="0.35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</row>
    <row r="916" spans="1:24" ht="14.5" x14ac:dyDescent="0.35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</row>
    <row r="917" spans="1:24" ht="14.5" x14ac:dyDescent="0.35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</row>
    <row r="918" spans="1:24" ht="14.5" x14ac:dyDescent="0.35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</row>
    <row r="919" spans="1:24" ht="14.5" x14ac:dyDescent="0.35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</row>
    <row r="920" spans="1:24" ht="14.5" x14ac:dyDescent="0.35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</row>
    <row r="921" spans="1:24" ht="14.5" x14ac:dyDescent="0.3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</row>
    <row r="922" spans="1:24" ht="14.5" x14ac:dyDescent="0.3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</row>
    <row r="923" spans="1:24" ht="14.5" x14ac:dyDescent="0.3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</row>
    <row r="924" spans="1:24" ht="14.5" x14ac:dyDescent="0.3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</row>
    <row r="925" spans="1:24" ht="14.5" x14ac:dyDescent="0.3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</row>
    <row r="926" spans="1:24" ht="14.5" x14ac:dyDescent="0.3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</row>
    <row r="927" spans="1:24" ht="14.5" x14ac:dyDescent="0.3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</row>
    <row r="928" spans="1:24" ht="14.5" x14ac:dyDescent="0.3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</row>
    <row r="929" spans="1:24" ht="14.5" x14ac:dyDescent="0.3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</row>
    <row r="930" spans="1:24" ht="14.5" x14ac:dyDescent="0.3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</row>
    <row r="931" spans="1:24" ht="14.5" x14ac:dyDescent="0.3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</row>
    <row r="932" spans="1:24" ht="14.5" x14ac:dyDescent="0.3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</row>
    <row r="933" spans="1:24" ht="14.5" x14ac:dyDescent="0.35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</row>
    <row r="934" spans="1:24" ht="14.5" x14ac:dyDescent="0.35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</row>
    <row r="935" spans="1:24" ht="14.5" x14ac:dyDescent="0.35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</row>
    <row r="936" spans="1:24" ht="14.5" x14ac:dyDescent="0.35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</row>
    <row r="937" spans="1:24" ht="14.5" x14ac:dyDescent="0.35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</row>
    <row r="938" spans="1:24" ht="14.5" x14ac:dyDescent="0.35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</row>
    <row r="939" spans="1:24" ht="14.5" x14ac:dyDescent="0.35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</row>
    <row r="940" spans="1:24" ht="14.5" x14ac:dyDescent="0.35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</row>
    <row r="941" spans="1:24" ht="14.5" x14ac:dyDescent="0.35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</row>
    <row r="942" spans="1:24" ht="14.5" x14ac:dyDescent="0.35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</row>
    <row r="943" spans="1:24" ht="14.5" x14ac:dyDescent="0.35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</row>
    <row r="944" spans="1:24" ht="14.5" x14ac:dyDescent="0.35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</row>
    <row r="945" spans="1:24" ht="14.5" x14ac:dyDescent="0.35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</row>
    <row r="946" spans="1:24" ht="14.5" x14ac:dyDescent="0.35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</row>
    <row r="947" spans="1:24" ht="14.5" x14ac:dyDescent="0.35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</row>
    <row r="948" spans="1:24" ht="14.5" x14ac:dyDescent="0.35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</row>
    <row r="949" spans="1:24" ht="14.5" x14ac:dyDescent="0.35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</row>
    <row r="950" spans="1:24" ht="14.5" x14ac:dyDescent="0.35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</row>
    <row r="951" spans="1:24" ht="14.5" x14ac:dyDescent="0.35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</row>
    <row r="952" spans="1:24" ht="14.5" x14ac:dyDescent="0.35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</row>
    <row r="953" spans="1:24" ht="14.5" x14ac:dyDescent="0.35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</row>
    <row r="954" spans="1:24" ht="14.5" x14ac:dyDescent="0.35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</row>
    <row r="955" spans="1:24" ht="14.5" x14ac:dyDescent="0.35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</row>
    <row r="956" spans="1:24" ht="14.5" x14ac:dyDescent="0.35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</row>
    <row r="957" spans="1:24" ht="14.5" x14ac:dyDescent="0.35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</row>
    <row r="958" spans="1:24" ht="14.5" x14ac:dyDescent="0.35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</row>
    <row r="959" spans="1:24" ht="14.5" x14ac:dyDescent="0.35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</row>
    <row r="960" spans="1:24" ht="14.5" x14ac:dyDescent="0.35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</row>
    <row r="961" spans="1:24" ht="14.5" x14ac:dyDescent="0.35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</row>
    <row r="962" spans="1:24" ht="14.5" x14ac:dyDescent="0.35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</row>
    <row r="963" spans="1:24" ht="14.5" x14ac:dyDescent="0.35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</row>
    <row r="964" spans="1:24" ht="14.5" x14ac:dyDescent="0.35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</row>
    <row r="965" spans="1:24" ht="14.5" x14ac:dyDescent="0.35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</row>
    <row r="966" spans="1:24" ht="14.5" x14ac:dyDescent="0.35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</row>
    <row r="967" spans="1:24" ht="14.5" x14ac:dyDescent="0.35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</row>
    <row r="968" spans="1:24" ht="14.5" x14ac:dyDescent="0.35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</row>
    <row r="969" spans="1:24" ht="14.5" x14ac:dyDescent="0.35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</row>
    <row r="970" spans="1:24" ht="14.5" x14ac:dyDescent="0.35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</row>
    <row r="971" spans="1:24" ht="14.5" x14ac:dyDescent="0.35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</row>
    <row r="972" spans="1:24" ht="14.5" x14ac:dyDescent="0.35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</row>
    <row r="973" spans="1:24" ht="14.5" x14ac:dyDescent="0.35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</row>
    <row r="974" spans="1:24" ht="14.5" x14ac:dyDescent="0.35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</row>
    <row r="975" spans="1:24" ht="14.5" x14ac:dyDescent="0.35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</row>
    <row r="976" spans="1:24" ht="14.5" x14ac:dyDescent="0.35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</row>
    <row r="977" spans="1:24" ht="14.5" x14ac:dyDescent="0.35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</row>
    <row r="978" spans="1:24" ht="14.5" x14ac:dyDescent="0.35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</row>
    <row r="979" spans="1:24" ht="14.5" x14ac:dyDescent="0.35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</row>
    <row r="980" spans="1:24" ht="14.5" x14ac:dyDescent="0.35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</row>
    <row r="981" spans="1:24" ht="14.5" x14ac:dyDescent="0.35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</row>
    <row r="982" spans="1:24" ht="14.5" x14ac:dyDescent="0.35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</row>
    <row r="983" spans="1:24" ht="14.5" x14ac:dyDescent="0.35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</row>
    <row r="984" spans="1:24" ht="14.5" x14ac:dyDescent="0.35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</row>
    <row r="985" spans="1:24" ht="14.5" x14ac:dyDescent="0.35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</row>
    <row r="986" spans="1:24" ht="14.5" x14ac:dyDescent="0.35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</row>
  </sheetData>
  <customSheetViews>
    <customSheetView guid="{106B7A88-9D1E-4D22-9DE1-7E44A908E830}" showGridLines="0" fitToPage="1">
      <selection activeCell="B9" sqref="B9"/>
      <pageMargins left="0.7" right="0.7" top="0.75" bottom="0.75" header="0.3" footer="0.3"/>
      <pageSetup paperSize="9" scale="41" fitToHeight="0" orientation="landscape" r:id="rId1"/>
    </customSheetView>
    <customSheetView guid="{CF50DB9B-0F8D-41A5-9576-F9345942CE97}" showGridLines="0">
      <selection activeCell="G5" sqref="G5"/>
      <pageMargins left="0.7" right="0.7" top="0.75" bottom="0.75" header="0.3" footer="0.3"/>
      <pageSetup paperSize="9" orientation="portrait" r:id="rId2"/>
    </customSheetView>
    <customSheetView guid="{B8CD8764-8103-4BA7-A294-F5FED5EA74ED}" showGridLines="0">
      <selection activeCell="G14" sqref="G14"/>
      <pageMargins left="0.7" right="0.7" top="0.75" bottom="0.75" header="0.3" footer="0.3"/>
      <pageSetup paperSize="9" orientation="portrait" r:id="rId3"/>
    </customSheetView>
    <customSheetView guid="{845F3A43-EF96-4057-9777-D2F2301CC149}" showPageBreaks="1" showGridLines="0" fitToPage="1">
      <selection activeCell="B9" sqref="B9"/>
      <pageMargins left="0.7" right="0.7" top="0.75" bottom="0.75" header="0.3" footer="0.3"/>
      <pageSetup paperSize="9" scale="41" fitToHeight="0" orientation="landscape" r:id="rId4"/>
    </customSheetView>
  </customSheetViews>
  <pageMargins left="0.7" right="0.7" top="0.75" bottom="0.75" header="0.3" footer="0.3"/>
  <pageSetup paperSize="9" scale="41" fitToHeight="0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>
      <selection activeCell="G8" sqref="G8"/>
    </sheetView>
  </sheetViews>
  <sheetFormatPr baseColWidth="10" defaultColWidth="17.26953125" defaultRowHeight="15" customHeight="1" x14ac:dyDescent="0.25"/>
  <cols>
    <col min="1" max="1" width="36.453125" bestFit="1" customWidth="1"/>
    <col min="2" max="2" width="19.81640625" bestFit="1" customWidth="1"/>
    <col min="3" max="3" width="9.54296875" bestFit="1" customWidth="1"/>
    <col min="4" max="4" width="13.54296875" bestFit="1" customWidth="1"/>
    <col min="5" max="6" width="18.453125" customWidth="1"/>
    <col min="7" max="7" width="19.26953125" customWidth="1"/>
    <col min="8" max="8" width="18.7265625" customWidth="1"/>
    <col min="9" max="9" width="79.7265625" bestFit="1" customWidth="1"/>
    <col min="10" max="19" width="12.54296875" customWidth="1"/>
    <col min="20" max="26" width="10" customWidth="1"/>
  </cols>
  <sheetData>
    <row r="1" spans="1:26" ht="18" customHeight="1" x14ac:dyDescent="0.25">
      <c r="A1" s="670" t="s">
        <v>652</v>
      </c>
      <c r="B1" s="662"/>
      <c r="C1" s="662"/>
      <c r="D1" s="662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</row>
    <row r="2" spans="1:26" ht="38.25" customHeight="1" x14ac:dyDescent="0.25">
      <c r="A2" s="151"/>
      <c r="B2" s="151"/>
      <c r="C2" s="151"/>
      <c r="D2" s="151"/>
      <c r="E2" s="152" t="s">
        <v>388</v>
      </c>
      <c r="F2" s="152" t="s">
        <v>389</v>
      </c>
      <c r="G2" s="152" t="s">
        <v>390</v>
      </c>
      <c r="H2" s="153" t="s">
        <v>391</v>
      </c>
      <c r="I2" s="151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</row>
    <row r="3" spans="1:26" ht="12.75" customHeight="1" x14ac:dyDescent="0.25">
      <c r="A3" s="154" t="s">
        <v>392</v>
      </c>
      <c r="B3" s="154" t="s">
        <v>393</v>
      </c>
      <c r="C3" s="154" t="s">
        <v>394</v>
      </c>
      <c r="D3" s="155" t="s">
        <v>395</v>
      </c>
      <c r="E3" s="303" t="s">
        <v>628</v>
      </c>
      <c r="F3" s="304" t="s">
        <v>629</v>
      </c>
      <c r="G3" s="304" t="s">
        <v>630</v>
      </c>
      <c r="H3" s="155" t="s">
        <v>396</v>
      </c>
      <c r="I3" s="155" t="s">
        <v>397</v>
      </c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</row>
    <row r="4" spans="1:26" ht="12.75" customHeight="1" x14ac:dyDescent="0.25">
      <c r="A4" s="156" t="s">
        <v>398</v>
      </c>
      <c r="B4" s="156"/>
      <c r="C4" s="157"/>
      <c r="D4" s="158"/>
      <c r="E4" s="158"/>
      <c r="F4" s="158"/>
      <c r="G4" s="158"/>
      <c r="H4" s="158"/>
      <c r="I4" s="159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</row>
    <row r="5" spans="1:26" ht="12.75" customHeight="1" x14ac:dyDescent="0.25">
      <c r="A5" s="156"/>
      <c r="B5" s="156"/>
      <c r="C5" s="302"/>
      <c r="D5" s="158"/>
      <c r="E5" s="158"/>
      <c r="F5" s="158"/>
      <c r="G5" s="158"/>
      <c r="H5" s="158"/>
      <c r="I5" s="159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</row>
    <row r="6" spans="1:26" ht="12.75" customHeight="1" x14ac:dyDescent="0.25">
      <c r="A6" s="156" t="s">
        <v>402</v>
      </c>
      <c r="B6" s="441" t="s">
        <v>627</v>
      </c>
      <c r="C6" s="160">
        <v>2020</v>
      </c>
      <c r="D6" s="158">
        <v>150000</v>
      </c>
      <c r="E6" s="252">
        <v>150000</v>
      </c>
      <c r="F6" s="158">
        <v>140000</v>
      </c>
      <c r="G6" s="158">
        <v>10000</v>
      </c>
      <c r="H6" s="158"/>
      <c r="I6" s="159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</row>
    <row r="7" spans="1:26" ht="12.75" customHeight="1" x14ac:dyDescent="0.25">
      <c r="A7" s="156" t="s">
        <v>404</v>
      </c>
      <c r="B7" s="156" t="s">
        <v>405</v>
      </c>
      <c r="C7" s="302">
        <v>2020</v>
      </c>
      <c r="D7" s="158">
        <v>60000</v>
      </c>
      <c r="E7" s="252">
        <v>60000</v>
      </c>
      <c r="F7" s="158"/>
      <c r="G7" s="158"/>
      <c r="H7" s="158"/>
      <c r="I7" s="442" t="s">
        <v>718</v>
      </c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</row>
    <row r="8" spans="1:26" ht="12.75" customHeight="1" x14ac:dyDescent="0.25">
      <c r="A8" s="156" t="s">
        <v>404</v>
      </c>
      <c r="B8" s="441" t="s">
        <v>726</v>
      </c>
      <c r="C8" s="302">
        <v>2020</v>
      </c>
      <c r="D8" s="465">
        <v>20000</v>
      </c>
      <c r="E8" s="465">
        <v>20000</v>
      </c>
      <c r="F8" s="465"/>
      <c r="G8" s="465">
        <v>20000</v>
      </c>
      <c r="H8" s="465"/>
      <c r="I8" s="442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</row>
    <row r="9" spans="1:26" ht="12.75" customHeight="1" x14ac:dyDescent="0.25">
      <c r="A9" s="156"/>
      <c r="B9" s="156"/>
      <c r="C9" s="302"/>
      <c r="D9" s="465"/>
      <c r="E9" s="465"/>
      <c r="F9" s="465"/>
      <c r="G9" s="465"/>
      <c r="H9" s="465"/>
      <c r="I9" s="159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</row>
    <row r="10" spans="1:26" ht="12.75" customHeight="1" x14ac:dyDescent="0.25">
      <c r="A10" s="156" t="s">
        <v>409</v>
      </c>
      <c r="B10" s="156"/>
      <c r="C10" s="160"/>
      <c r="D10" s="161"/>
      <c r="E10" s="161"/>
      <c r="F10" s="161"/>
      <c r="G10" s="161"/>
      <c r="H10" s="161"/>
      <c r="I10" s="159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</row>
    <row r="11" spans="1:26" ht="12.75" customHeight="1" x14ac:dyDescent="0.25">
      <c r="A11" s="156"/>
      <c r="B11" s="156"/>
      <c r="C11" s="160"/>
      <c r="D11" s="161"/>
      <c r="E11" s="161"/>
      <c r="F11" s="161"/>
      <c r="G11" s="161"/>
      <c r="H11" s="161"/>
      <c r="I11" s="159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</row>
    <row r="12" spans="1:26" ht="12.75" customHeight="1" x14ac:dyDescent="0.25">
      <c r="A12" s="156"/>
      <c r="B12" s="156"/>
      <c r="C12" s="160"/>
      <c r="D12" s="161"/>
      <c r="E12" s="161"/>
      <c r="F12" s="161"/>
      <c r="G12" s="161"/>
      <c r="H12" s="161"/>
      <c r="I12" s="159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</row>
    <row r="13" spans="1:26" ht="12.75" customHeight="1" x14ac:dyDescent="0.25">
      <c r="A13" s="162"/>
      <c r="B13" s="162"/>
      <c r="C13" s="162"/>
      <c r="D13" s="163">
        <f t="shared" ref="D13:H13" si="0">SUM(D4:D12)</f>
        <v>230000</v>
      </c>
      <c r="E13" s="253">
        <f t="shared" si="0"/>
        <v>230000</v>
      </c>
      <c r="F13" s="163">
        <f t="shared" si="0"/>
        <v>140000</v>
      </c>
      <c r="G13" s="253">
        <f t="shared" si="0"/>
        <v>30000</v>
      </c>
      <c r="H13" s="163">
        <f t="shared" si="0"/>
        <v>0</v>
      </c>
      <c r="I13" s="164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</row>
    <row r="14" spans="1:26" ht="12.75" customHeight="1" x14ac:dyDescent="0.25">
      <c r="A14" s="165"/>
      <c r="B14" s="165"/>
      <c r="C14" s="166"/>
      <c r="D14" s="166"/>
      <c r="E14" s="166"/>
      <c r="F14" s="166"/>
      <c r="G14" s="166"/>
      <c r="H14" s="166"/>
      <c r="I14" s="166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</row>
    <row r="15" spans="1:26" ht="12.75" customHeight="1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</row>
    <row r="16" spans="1:26" ht="12.75" customHeight="1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</row>
    <row r="17" spans="1:26" ht="12.75" customHeight="1" x14ac:dyDescent="0.25">
      <c r="A17" s="167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</row>
    <row r="18" spans="1:26" ht="12.75" customHeight="1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</row>
    <row r="19" spans="1:26" ht="12.75" customHeight="1" x14ac:dyDescent="0.25">
      <c r="A19" s="464"/>
      <c r="B19" s="464"/>
      <c r="C19" s="464"/>
      <c r="D19" s="464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</row>
    <row r="20" spans="1:26" ht="12.75" customHeight="1" x14ac:dyDescent="0.25">
      <c r="A20" s="464"/>
      <c r="B20" s="464"/>
      <c r="C20" s="464"/>
      <c r="D20" s="464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</row>
    <row r="21" spans="1:26" ht="12.75" customHeight="1" x14ac:dyDescent="0.25">
      <c r="A21" s="464"/>
      <c r="B21" s="464"/>
      <c r="C21" s="464"/>
      <c r="D21" s="464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</row>
    <row r="22" spans="1:26" ht="12.75" customHeight="1" x14ac:dyDescent="0.25">
      <c r="A22" s="464"/>
      <c r="B22" s="464"/>
      <c r="C22" s="464"/>
      <c r="D22" s="464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 spans="1:26" ht="12.75" customHeight="1" x14ac:dyDescent="0.25">
      <c r="A23" s="464"/>
      <c r="B23" s="464"/>
      <c r="C23" s="464"/>
      <c r="D23" s="464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</row>
    <row r="24" spans="1:26" ht="12.75" customHeight="1" x14ac:dyDescent="0.25">
      <c r="A24" s="464"/>
      <c r="B24" s="464"/>
      <c r="C24" s="464"/>
      <c r="D24" s="464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 spans="1:26" ht="12.75" customHeight="1" x14ac:dyDescent="0.25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ht="12.75" customHeight="1" x14ac:dyDescent="0.25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ht="12.75" customHeight="1" x14ac:dyDescent="0.25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12.75" customHeight="1" x14ac:dyDescent="0.25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</row>
    <row r="29" spans="1:26" ht="12.75" customHeight="1" x14ac:dyDescent="0.2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</row>
    <row r="30" spans="1:26" ht="12.75" customHeight="1" x14ac:dyDescent="0.2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</row>
    <row r="31" spans="1:26" ht="12.75" customHeight="1" x14ac:dyDescent="0.25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</row>
    <row r="32" spans="1:26" ht="12.75" customHeight="1" x14ac:dyDescent="0.25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</row>
    <row r="33" spans="1:26" ht="12.75" customHeight="1" x14ac:dyDescent="0.25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</row>
    <row r="34" spans="1:26" ht="12.75" customHeight="1" x14ac:dyDescent="0.2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</row>
    <row r="35" spans="1:26" ht="12.75" customHeight="1" x14ac:dyDescent="0.25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</row>
    <row r="36" spans="1:26" ht="12.75" customHeight="1" x14ac:dyDescent="0.25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ht="12.75" customHeight="1" x14ac:dyDescent="0.25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</row>
    <row r="38" spans="1:26" ht="12.75" customHeight="1" x14ac:dyDescent="0.25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</row>
    <row r="39" spans="1:26" ht="12.75" customHeight="1" x14ac:dyDescent="0.25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</row>
    <row r="40" spans="1:26" ht="12.75" customHeight="1" x14ac:dyDescent="0.25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</row>
    <row r="41" spans="1:26" ht="12.75" customHeight="1" x14ac:dyDescent="0.25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</row>
    <row r="42" spans="1:26" ht="12.75" customHeight="1" x14ac:dyDescent="0.25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</row>
    <row r="43" spans="1:26" ht="12.75" customHeight="1" x14ac:dyDescent="0.25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</row>
    <row r="44" spans="1:26" ht="12.75" customHeight="1" x14ac:dyDescent="0.25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</row>
    <row r="45" spans="1:26" ht="12.75" customHeight="1" x14ac:dyDescent="0.25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</row>
    <row r="46" spans="1:26" ht="12.75" customHeight="1" x14ac:dyDescent="0.25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</row>
    <row r="47" spans="1:26" ht="12.75" customHeight="1" x14ac:dyDescent="0.25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</row>
    <row r="48" spans="1:26" ht="12.75" customHeight="1" x14ac:dyDescent="0.25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</row>
    <row r="49" spans="1:26" ht="12.75" customHeight="1" x14ac:dyDescent="0.25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</row>
    <row r="50" spans="1:26" ht="12.75" customHeight="1" x14ac:dyDescent="0.25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ht="12.75" customHeight="1" x14ac:dyDescent="0.2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</row>
    <row r="52" spans="1:26" ht="12.75" customHeight="1" x14ac:dyDescent="0.2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</row>
    <row r="53" spans="1:26" ht="12.75" customHeight="1" x14ac:dyDescent="0.2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</row>
    <row r="54" spans="1:26" ht="12.75" customHeight="1" x14ac:dyDescent="0.2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</row>
    <row r="55" spans="1:26" ht="12.75" customHeight="1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</row>
    <row r="56" spans="1:26" ht="12.75" customHeight="1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</row>
    <row r="57" spans="1:26" ht="12.75" customHeight="1" x14ac:dyDescent="0.25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</row>
    <row r="58" spans="1:26" ht="12.75" customHeight="1" x14ac:dyDescent="0.25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</row>
    <row r="59" spans="1:26" ht="12.75" customHeight="1" x14ac:dyDescent="0.25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</row>
    <row r="60" spans="1:26" ht="12.75" customHeight="1" x14ac:dyDescent="0.25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</row>
    <row r="61" spans="1:26" ht="12.75" customHeight="1" x14ac:dyDescent="0.25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</row>
    <row r="62" spans="1:26" ht="12.75" customHeight="1" x14ac:dyDescent="0.25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</row>
    <row r="63" spans="1:26" ht="12.75" customHeight="1" x14ac:dyDescent="0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</row>
    <row r="64" spans="1:26" ht="12.75" customHeight="1" x14ac:dyDescent="0.25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ht="12.75" customHeight="1" x14ac:dyDescent="0.25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</row>
    <row r="66" spans="1:26" ht="12.75" customHeight="1" x14ac:dyDescent="0.25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</row>
    <row r="67" spans="1:26" ht="12.75" customHeight="1" x14ac:dyDescent="0.25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</row>
    <row r="68" spans="1:26" ht="12.75" customHeight="1" x14ac:dyDescent="0.25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</row>
    <row r="69" spans="1:26" ht="12.75" customHeight="1" x14ac:dyDescent="0.25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</row>
    <row r="70" spans="1:26" ht="12.75" customHeight="1" x14ac:dyDescent="0.25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</row>
    <row r="71" spans="1:26" ht="12.75" customHeight="1" x14ac:dyDescent="0.25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</row>
    <row r="72" spans="1:26" ht="12.75" customHeight="1" x14ac:dyDescent="0.25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</row>
    <row r="73" spans="1:26" ht="12.75" customHeight="1" x14ac:dyDescent="0.25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</row>
    <row r="74" spans="1:26" ht="12.75" customHeight="1" x14ac:dyDescent="0.25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</row>
    <row r="75" spans="1:26" ht="12.75" customHeight="1" x14ac:dyDescent="0.25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</row>
    <row r="76" spans="1:26" ht="12.75" customHeight="1" x14ac:dyDescent="0.25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</row>
    <row r="77" spans="1:26" ht="12.75" customHeight="1" x14ac:dyDescent="0.25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</row>
    <row r="78" spans="1:26" ht="12.75" customHeight="1" x14ac:dyDescent="0.25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</row>
    <row r="79" spans="1:26" ht="12.75" customHeight="1" x14ac:dyDescent="0.25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</row>
    <row r="80" spans="1:26" ht="12.75" customHeight="1" x14ac:dyDescent="0.25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</row>
    <row r="81" spans="1:26" ht="12.75" customHeight="1" x14ac:dyDescent="0.25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</row>
    <row r="82" spans="1:26" ht="12.75" customHeight="1" x14ac:dyDescent="0.25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</row>
    <row r="83" spans="1:26" ht="12.75" customHeight="1" x14ac:dyDescent="0.25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</row>
    <row r="84" spans="1:26" ht="12.75" customHeight="1" x14ac:dyDescent="0.25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</row>
    <row r="85" spans="1:26" ht="12.75" customHeight="1" x14ac:dyDescent="0.25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</row>
    <row r="86" spans="1:26" ht="12.75" customHeight="1" x14ac:dyDescent="0.25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</row>
    <row r="87" spans="1:26" ht="12.75" customHeight="1" x14ac:dyDescent="0.25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</row>
    <row r="88" spans="1:26" ht="12.75" customHeight="1" x14ac:dyDescent="0.25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</row>
    <row r="89" spans="1:26" ht="12.75" customHeight="1" x14ac:dyDescent="0.25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</row>
    <row r="90" spans="1:26" ht="12.75" customHeight="1" x14ac:dyDescent="0.25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</row>
    <row r="91" spans="1:26" ht="12.75" customHeight="1" x14ac:dyDescent="0.25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</row>
    <row r="92" spans="1:26" ht="12.75" customHeight="1" x14ac:dyDescent="0.25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</row>
    <row r="93" spans="1:26" ht="12.75" customHeight="1" x14ac:dyDescent="0.25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</row>
    <row r="94" spans="1:26" ht="12.75" customHeight="1" x14ac:dyDescent="0.25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</row>
    <row r="95" spans="1:26" ht="12.75" customHeight="1" x14ac:dyDescent="0.25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</row>
    <row r="96" spans="1:26" ht="12.75" customHeight="1" x14ac:dyDescent="0.25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</row>
    <row r="97" spans="1:26" ht="12.75" customHeight="1" x14ac:dyDescent="0.25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</row>
    <row r="98" spans="1:26" ht="12.75" customHeight="1" x14ac:dyDescent="0.25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</row>
    <row r="99" spans="1:26" ht="12.75" customHeight="1" x14ac:dyDescent="0.25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</row>
    <row r="100" spans="1:26" ht="12.75" customHeight="1" x14ac:dyDescent="0.25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</row>
    <row r="101" spans="1:26" ht="12.75" customHeight="1" x14ac:dyDescent="0.25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</row>
    <row r="102" spans="1:26" ht="12.75" customHeight="1" x14ac:dyDescent="0.25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</row>
    <row r="103" spans="1:26" ht="12.75" customHeight="1" x14ac:dyDescent="0.25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</row>
    <row r="104" spans="1:26" ht="12.75" customHeight="1" x14ac:dyDescent="0.25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</row>
    <row r="105" spans="1:26" ht="12.75" customHeight="1" x14ac:dyDescent="0.25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</row>
    <row r="106" spans="1:26" ht="12.75" customHeight="1" x14ac:dyDescent="0.25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</row>
    <row r="107" spans="1:26" ht="12.75" customHeight="1" x14ac:dyDescent="0.25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</row>
    <row r="108" spans="1:26" ht="12.75" customHeight="1" x14ac:dyDescent="0.25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</row>
    <row r="109" spans="1:26" ht="12.75" customHeight="1" x14ac:dyDescent="0.25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</row>
    <row r="110" spans="1:26" ht="12.75" customHeight="1" x14ac:dyDescent="0.25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</row>
    <row r="111" spans="1:26" ht="12.75" customHeight="1" x14ac:dyDescent="0.25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</row>
    <row r="112" spans="1:26" ht="12.75" customHeight="1" x14ac:dyDescent="0.25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</row>
    <row r="113" spans="1:26" ht="12.75" customHeight="1" x14ac:dyDescent="0.25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</row>
    <row r="114" spans="1:26" ht="12.75" customHeight="1" x14ac:dyDescent="0.25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</row>
    <row r="115" spans="1:26" ht="12.75" customHeight="1" x14ac:dyDescent="0.25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</row>
    <row r="116" spans="1:26" ht="12.75" customHeight="1" x14ac:dyDescent="0.25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</row>
    <row r="117" spans="1:26" ht="12.75" customHeight="1" x14ac:dyDescent="0.25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</row>
    <row r="118" spans="1:26" ht="12.75" customHeight="1" x14ac:dyDescent="0.25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</row>
    <row r="119" spans="1:26" ht="12.75" customHeight="1" x14ac:dyDescent="0.25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</row>
    <row r="120" spans="1:26" ht="12.75" customHeight="1" x14ac:dyDescent="0.25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</row>
    <row r="121" spans="1:26" ht="12.75" customHeight="1" x14ac:dyDescent="0.25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</row>
    <row r="122" spans="1:26" ht="12.75" customHeight="1" x14ac:dyDescent="0.25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</row>
    <row r="123" spans="1:26" ht="12.75" customHeight="1" x14ac:dyDescent="0.25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</row>
    <row r="124" spans="1:26" ht="12.75" customHeight="1" x14ac:dyDescent="0.25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</row>
    <row r="125" spans="1:26" ht="12.75" customHeight="1" x14ac:dyDescent="0.25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</row>
    <row r="126" spans="1:26" ht="12.75" customHeight="1" x14ac:dyDescent="0.25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</row>
    <row r="127" spans="1:26" ht="12.75" customHeight="1" x14ac:dyDescent="0.25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</row>
    <row r="128" spans="1:26" ht="12.75" customHeight="1" x14ac:dyDescent="0.25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</row>
    <row r="129" spans="1:26" ht="12.75" customHeight="1" x14ac:dyDescent="0.25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</row>
    <row r="130" spans="1:26" ht="12.75" customHeight="1" x14ac:dyDescent="0.25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</row>
    <row r="131" spans="1:26" ht="12.75" customHeight="1" x14ac:dyDescent="0.25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</row>
    <row r="132" spans="1:26" ht="12.75" customHeight="1" x14ac:dyDescent="0.25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</row>
    <row r="133" spans="1:26" ht="12.75" customHeight="1" x14ac:dyDescent="0.25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</row>
    <row r="134" spans="1:26" ht="12.75" customHeight="1" x14ac:dyDescent="0.25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</row>
    <row r="135" spans="1:26" ht="12.75" customHeight="1" x14ac:dyDescent="0.2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</row>
    <row r="136" spans="1:26" ht="12.75" customHeight="1" x14ac:dyDescent="0.25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</row>
    <row r="137" spans="1:26" ht="12.75" customHeight="1" x14ac:dyDescent="0.25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</row>
    <row r="138" spans="1:26" ht="12.75" customHeight="1" x14ac:dyDescent="0.25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</row>
    <row r="139" spans="1:26" ht="12.75" customHeight="1" x14ac:dyDescent="0.25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</row>
    <row r="140" spans="1:26" ht="12.75" customHeight="1" x14ac:dyDescent="0.25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</row>
    <row r="141" spans="1:26" ht="12.75" customHeight="1" x14ac:dyDescent="0.25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</row>
    <row r="142" spans="1:26" ht="12.75" customHeight="1" x14ac:dyDescent="0.25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</row>
    <row r="143" spans="1:26" ht="12.75" customHeight="1" x14ac:dyDescent="0.25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</row>
    <row r="144" spans="1:26" ht="12.75" customHeight="1" x14ac:dyDescent="0.25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</row>
    <row r="145" spans="1:26" ht="12.75" customHeight="1" x14ac:dyDescent="0.25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</row>
    <row r="146" spans="1:26" ht="12.75" customHeight="1" x14ac:dyDescent="0.25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</row>
    <row r="147" spans="1:26" ht="12.75" customHeight="1" x14ac:dyDescent="0.25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</row>
    <row r="148" spans="1:26" ht="12.75" customHeight="1" x14ac:dyDescent="0.25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</row>
    <row r="149" spans="1:26" ht="12.75" customHeight="1" x14ac:dyDescent="0.25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</row>
    <row r="150" spans="1:26" ht="12.75" customHeight="1" x14ac:dyDescent="0.25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</row>
    <row r="151" spans="1:26" ht="12.75" customHeight="1" x14ac:dyDescent="0.25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</row>
    <row r="152" spans="1:26" ht="12.75" customHeight="1" x14ac:dyDescent="0.25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</row>
    <row r="153" spans="1:26" ht="12.75" customHeight="1" x14ac:dyDescent="0.25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</row>
    <row r="154" spans="1:26" ht="12.75" customHeight="1" x14ac:dyDescent="0.25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</row>
    <row r="155" spans="1:26" ht="12.75" customHeight="1" x14ac:dyDescent="0.25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</row>
    <row r="156" spans="1:26" ht="12.75" customHeight="1" x14ac:dyDescent="0.25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</row>
    <row r="157" spans="1:26" ht="12.75" customHeight="1" x14ac:dyDescent="0.25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</row>
    <row r="158" spans="1:26" ht="12.75" customHeight="1" x14ac:dyDescent="0.25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</row>
    <row r="159" spans="1:26" ht="12.75" customHeight="1" x14ac:dyDescent="0.25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</row>
    <row r="160" spans="1:26" ht="12.75" customHeight="1" x14ac:dyDescent="0.25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</row>
    <row r="161" spans="1:26" ht="12.75" customHeight="1" x14ac:dyDescent="0.25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</row>
    <row r="162" spans="1:26" ht="12.75" customHeight="1" x14ac:dyDescent="0.25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</row>
    <row r="163" spans="1:26" ht="12.75" customHeight="1" x14ac:dyDescent="0.25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</row>
    <row r="164" spans="1:26" ht="12.75" customHeight="1" x14ac:dyDescent="0.25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</row>
    <row r="165" spans="1:26" ht="12.75" customHeight="1" x14ac:dyDescent="0.25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</row>
    <row r="166" spans="1:26" ht="12.75" customHeight="1" x14ac:dyDescent="0.25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</row>
    <row r="167" spans="1:26" ht="12.75" customHeight="1" x14ac:dyDescent="0.25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</row>
    <row r="168" spans="1:26" ht="12.75" customHeight="1" x14ac:dyDescent="0.25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</row>
    <row r="169" spans="1:26" ht="12.75" customHeight="1" x14ac:dyDescent="0.25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</row>
    <row r="170" spans="1:26" ht="12.75" customHeight="1" x14ac:dyDescent="0.25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</row>
    <row r="171" spans="1:26" ht="12.75" customHeight="1" x14ac:dyDescent="0.25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</row>
    <row r="172" spans="1:26" ht="12.75" customHeight="1" x14ac:dyDescent="0.25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</row>
    <row r="173" spans="1:26" ht="12.75" customHeight="1" x14ac:dyDescent="0.25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</row>
    <row r="174" spans="1:26" ht="12.75" customHeight="1" x14ac:dyDescent="0.25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</row>
    <row r="175" spans="1:26" ht="12.75" customHeight="1" x14ac:dyDescent="0.25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</row>
    <row r="176" spans="1:26" ht="12.75" customHeight="1" x14ac:dyDescent="0.25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</row>
    <row r="177" spans="1:26" ht="12.75" customHeight="1" x14ac:dyDescent="0.25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</row>
    <row r="178" spans="1:26" ht="12.75" customHeight="1" x14ac:dyDescent="0.25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</row>
    <row r="179" spans="1:26" ht="12.75" customHeight="1" x14ac:dyDescent="0.25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</row>
    <row r="180" spans="1:26" ht="12.75" customHeight="1" x14ac:dyDescent="0.25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</row>
    <row r="181" spans="1:26" ht="12.75" customHeight="1" x14ac:dyDescent="0.25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</row>
    <row r="182" spans="1:26" ht="12.75" customHeight="1" x14ac:dyDescent="0.25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</row>
    <row r="183" spans="1:26" ht="12.75" customHeight="1" x14ac:dyDescent="0.25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</row>
    <row r="184" spans="1:26" ht="12.75" customHeight="1" x14ac:dyDescent="0.25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</row>
    <row r="185" spans="1:26" ht="12.75" customHeight="1" x14ac:dyDescent="0.25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</row>
    <row r="186" spans="1:26" ht="12.75" customHeight="1" x14ac:dyDescent="0.25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</row>
    <row r="187" spans="1:26" ht="12.75" customHeight="1" x14ac:dyDescent="0.25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</row>
    <row r="188" spans="1:26" ht="12.75" customHeight="1" x14ac:dyDescent="0.25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</row>
    <row r="189" spans="1:26" ht="12.75" customHeight="1" x14ac:dyDescent="0.25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</row>
    <row r="190" spans="1:26" ht="12.75" customHeight="1" x14ac:dyDescent="0.25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</row>
    <row r="191" spans="1:26" ht="12.75" customHeight="1" x14ac:dyDescent="0.25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</row>
    <row r="192" spans="1:26" ht="12.75" customHeight="1" x14ac:dyDescent="0.25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</row>
    <row r="193" spans="1:26" ht="12.75" customHeight="1" x14ac:dyDescent="0.25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</row>
    <row r="194" spans="1:26" ht="12.75" customHeight="1" x14ac:dyDescent="0.25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</row>
    <row r="195" spans="1:26" ht="12.75" customHeight="1" x14ac:dyDescent="0.25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</row>
    <row r="196" spans="1:26" ht="12.75" customHeight="1" x14ac:dyDescent="0.25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</row>
    <row r="197" spans="1:26" ht="12.75" customHeight="1" x14ac:dyDescent="0.25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</row>
    <row r="198" spans="1:26" ht="12.75" customHeight="1" x14ac:dyDescent="0.25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</row>
    <row r="199" spans="1:26" ht="12.75" customHeight="1" x14ac:dyDescent="0.25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</row>
    <row r="200" spans="1:26" ht="12.75" customHeight="1" x14ac:dyDescent="0.25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</row>
    <row r="201" spans="1:26" ht="12.75" customHeight="1" x14ac:dyDescent="0.25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</row>
    <row r="202" spans="1:26" ht="12.75" customHeight="1" x14ac:dyDescent="0.25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</row>
    <row r="203" spans="1:26" ht="12.75" customHeight="1" x14ac:dyDescent="0.25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</row>
    <row r="204" spans="1:26" ht="12.75" customHeight="1" x14ac:dyDescent="0.25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</row>
    <row r="205" spans="1:26" ht="12.75" customHeight="1" x14ac:dyDescent="0.25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</row>
    <row r="206" spans="1:26" ht="12.75" customHeight="1" x14ac:dyDescent="0.25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</row>
    <row r="207" spans="1:26" ht="12.75" customHeight="1" x14ac:dyDescent="0.25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</row>
    <row r="208" spans="1:26" ht="12.75" customHeight="1" x14ac:dyDescent="0.25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</row>
    <row r="209" spans="1:26" ht="12.75" customHeight="1" x14ac:dyDescent="0.25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</row>
    <row r="210" spans="1:26" ht="12.75" customHeight="1" x14ac:dyDescent="0.25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</row>
    <row r="211" spans="1:26" ht="12.75" customHeight="1" x14ac:dyDescent="0.25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</row>
    <row r="212" spans="1:26" ht="12.75" customHeight="1" x14ac:dyDescent="0.25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</row>
    <row r="213" spans="1:26" ht="12.75" customHeight="1" x14ac:dyDescent="0.25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</row>
    <row r="214" spans="1:26" ht="12.75" customHeight="1" x14ac:dyDescent="0.25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</row>
    <row r="215" spans="1:26" ht="12.75" customHeight="1" x14ac:dyDescent="0.25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</row>
    <row r="216" spans="1:26" ht="12.75" customHeight="1" x14ac:dyDescent="0.25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</row>
    <row r="217" spans="1:26" ht="12.75" customHeight="1" x14ac:dyDescent="0.25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</row>
    <row r="218" spans="1:26" ht="12.75" customHeight="1" x14ac:dyDescent="0.25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</row>
    <row r="219" spans="1:26" ht="12.75" customHeight="1" x14ac:dyDescent="0.25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</row>
    <row r="220" spans="1:26" ht="12.75" customHeight="1" x14ac:dyDescent="0.25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</row>
    <row r="221" spans="1:26" ht="12.75" customHeight="1" x14ac:dyDescent="0.25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</row>
    <row r="222" spans="1:26" ht="12.75" customHeight="1" x14ac:dyDescent="0.25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</row>
    <row r="223" spans="1:26" ht="12.75" customHeight="1" x14ac:dyDescent="0.25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</row>
    <row r="224" spans="1:26" ht="12.75" customHeight="1" x14ac:dyDescent="0.25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</row>
    <row r="225" spans="1:26" ht="12.75" customHeight="1" x14ac:dyDescent="0.25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</row>
    <row r="226" spans="1:26" ht="12.75" customHeight="1" x14ac:dyDescent="0.25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</row>
    <row r="227" spans="1:26" ht="12.75" customHeight="1" x14ac:dyDescent="0.25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</row>
    <row r="228" spans="1:26" ht="12.75" customHeight="1" x14ac:dyDescent="0.25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</row>
    <row r="229" spans="1:26" ht="12.75" customHeight="1" x14ac:dyDescent="0.25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</row>
    <row r="230" spans="1:26" ht="12.75" customHeight="1" x14ac:dyDescent="0.25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</row>
    <row r="231" spans="1:26" ht="12.75" customHeight="1" x14ac:dyDescent="0.25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</row>
    <row r="232" spans="1:26" ht="12.75" customHeight="1" x14ac:dyDescent="0.25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</row>
    <row r="233" spans="1:26" ht="12.75" customHeight="1" x14ac:dyDescent="0.25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</row>
    <row r="234" spans="1:26" ht="12.75" customHeight="1" x14ac:dyDescent="0.25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</row>
    <row r="235" spans="1:26" ht="12.75" customHeight="1" x14ac:dyDescent="0.25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</row>
    <row r="236" spans="1:26" ht="12.75" customHeight="1" x14ac:dyDescent="0.25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</row>
    <row r="237" spans="1:26" ht="12.75" customHeight="1" x14ac:dyDescent="0.25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</row>
    <row r="238" spans="1:26" ht="12.75" customHeight="1" x14ac:dyDescent="0.25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</row>
    <row r="239" spans="1:26" ht="12.75" customHeight="1" x14ac:dyDescent="0.25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</row>
    <row r="240" spans="1:26" ht="12.75" customHeight="1" x14ac:dyDescent="0.25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</row>
    <row r="241" spans="1:26" ht="12.75" customHeight="1" x14ac:dyDescent="0.25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</row>
    <row r="242" spans="1:26" ht="12.75" customHeight="1" x14ac:dyDescent="0.25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</row>
    <row r="243" spans="1:26" ht="12.75" customHeight="1" x14ac:dyDescent="0.25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</row>
    <row r="244" spans="1:26" ht="12.75" customHeight="1" x14ac:dyDescent="0.25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</row>
    <row r="245" spans="1:26" ht="12.75" customHeight="1" x14ac:dyDescent="0.25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</row>
    <row r="246" spans="1:26" ht="12.75" customHeight="1" x14ac:dyDescent="0.25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</row>
    <row r="247" spans="1:26" ht="12.75" customHeight="1" x14ac:dyDescent="0.25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</row>
    <row r="248" spans="1:26" ht="12.75" customHeight="1" x14ac:dyDescent="0.25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</row>
    <row r="249" spans="1:26" ht="12.75" customHeight="1" x14ac:dyDescent="0.25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</row>
    <row r="250" spans="1:26" ht="12.75" customHeight="1" x14ac:dyDescent="0.25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</row>
    <row r="251" spans="1:26" ht="12.75" customHeight="1" x14ac:dyDescent="0.25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</row>
    <row r="252" spans="1:26" ht="12.75" customHeight="1" x14ac:dyDescent="0.25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</row>
    <row r="253" spans="1:26" ht="12.75" customHeight="1" x14ac:dyDescent="0.25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</row>
    <row r="254" spans="1:26" ht="12.75" customHeight="1" x14ac:dyDescent="0.25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</row>
    <row r="255" spans="1:26" ht="12.75" customHeight="1" x14ac:dyDescent="0.25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</row>
    <row r="256" spans="1:26" ht="12.75" customHeight="1" x14ac:dyDescent="0.25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</row>
    <row r="257" spans="1:26" ht="12.75" customHeight="1" x14ac:dyDescent="0.25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</row>
    <row r="258" spans="1:26" ht="12.75" customHeight="1" x14ac:dyDescent="0.25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</row>
    <row r="259" spans="1:26" ht="12.75" customHeight="1" x14ac:dyDescent="0.25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</row>
    <row r="260" spans="1:26" ht="12.75" customHeight="1" x14ac:dyDescent="0.25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</row>
    <row r="261" spans="1:26" ht="12.75" customHeight="1" x14ac:dyDescent="0.25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</row>
    <row r="262" spans="1:26" ht="12.75" customHeight="1" x14ac:dyDescent="0.25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</row>
    <row r="263" spans="1:26" ht="12.75" customHeight="1" x14ac:dyDescent="0.25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</row>
    <row r="264" spans="1:26" ht="12.75" customHeight="1" x14ac:dyDescent="0.25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</row>
    <row r="265" spans="1:26" ht="12.75" customHeight="1" x14ac:dyDescent="0.25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</row>
    <row r="266" spans="1:26" ht="12.75" customHeight="1" x14ac:dyDescent="0.25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</row>
    <row r="267" spans="1:26" ht="12.75" customHeight="1" x14ac:dyDescent="0.25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</row>
    <row r="268" spans="1:26" ht="12.75" customHeight="1" x14ac:dyDescent="0.25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</row>
    <row r="269" spans="1:26" ht="12.75" customHeight="1" x14ac:dyDescent="0.25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</row>
    <row r="270" spans="1:26" ht="12.75" customHeight="1" x14ac:dyDescent="0.25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</row>
    <row r="271" spans="1:26" ht="12.75" customHeight="1" x14ac:dyDescent="0.25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</row>
    <row r="272" spans="1:26" ht="12.75" customHeight="1" x14ac:dyDescent="0.25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</row>
    <row r="273" spans="1:26" ht="12.75" customHeight="1" x14ac:dyDescent="0.25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</row>
    <row r="274" spans="1:26" ht="12.75" customHeight="1" x14ac:dyDescent="0.25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</row>
    <row r="275" spans="1:26" ht="12.75" customHeight="1" x14ac:dyDescent="0.25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</row>
    <row r="276" spans="1:26" ht="12.75" customHeight="1" x14ac:dyDescent="0.25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</row>
    <row r="277" spans="1:26" ht="12.75" customHeight="1" x14ac:dyDescent="0.25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</row>
    <row r="278" spans="1:26" ht="12.75" customHeight="1" x14ac:dyDescent="0.25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</row>
    <row r="279" spans="1:26" ht="12.75" customHeight="1" x14ac:dyDescent="0.25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</row>
    <row r="280" spans="1:26" ht="12.75" customHeight="1" x14ac:dyDescent="0.25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</row>
    <row r="281" spans="1:26" ht="12.75" customHeight="1" x14ac:dyDescent="0.25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</row>
    <row r="282" spans="1:26" ht="12.75" customHeight="1" x14ac:dyDescent="0.25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</row>
    <row r="283" spans="1:26" ht="12.75" customHeight="1" x14ac:dyDescent="0.25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</row>
    <row r="284" spans="1:26" ht="12.75" customHeight="1" x14ac:dyDescent="0.25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</row>
    <row r="285" spans="1:26" ht="12.75" customHeight="1" x14ac:dyDescent="0.25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</row>
    <row r="286" spans="1:26" ht="12.75" customHeight="1" x14ac:dyDescent="0.25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</row>
    <row r="287" spans="1:26" ht="12.75" customHeight="1" x14ac:dyDescent="0.25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</row>
    <row r="288" spans="1:26" ht="12.75" customHeight="1" x14ac:dyDescent="0.25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</row>
    <row r="289" spans="1:26" ht="12.75" customHeight="1" x14ac:dyDescent="0.25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</row>
    <row r="290" spans="1:26" ht="12.75" customHeight="1" x14ac:dyDescent="0.25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</row>
    <row r="291" spans="1:26" ht="12.75" customHeight="1" x14ac:dyDescent="0.25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</row>
    <row r="292" spans="1:26" ht="12.75" customHeight="1" x14ac:dyDescent="0.25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</row>
    <row r="293" spans="1:26" ht="12.75" customHeight="1" x14ac:dyDescent="0.25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</row>
    <row r="294" spans="1:26" ht="12.75" customHeight="1" x14ac:dyDescent="0.25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</row>
    <row r="295" spans="1:26" ht="12.75" customHeight="1" x14ac:dyDescent="0.25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</row>
    <row r="296" spans="1:26" ht="12.75" customHeight="1" x14ac:dyDescent="0.25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</row>
    <row r="297" spans="1:26" ht="12.75" customHeight="1" x14ac:dyDescent="0.25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</row>
    <row r="298" spans="1:26" ht="12.75" customHeight="1" x14ac:dyDescent="0.25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</row>
    <row r="299" spans="1:26" ht="12.75" customHeight="1" x14ac:dyDescent="0.25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</row>
    <row r="300" spans="1:26" ht="12.75" customHeight="1" x14ac:dyDescent="0.25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</row>
    <row r="301" spans="1:26" ht="12.75" customHeight="1" x14ac:dyDescent="0.25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</row>
    <row r="302" spans="1:26" ht="12.75" customHeight="1" x14ac:dyDescent="0.25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</row>
    <row r="303" spans="1:26" ht="12.75" customHeight="1" x14ac:dyDescent="0.25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</row>
    <row r="304" spans="1:26" ht="12.75" customHeight="1" x14ac:dyDescent="0.25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</row>
    <row r="305" spans="1:26" ht="12.75" customHeight="1" x14ac:dyDescent="0.25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</row>
    <row r="306" spans="1:26" ht="12.75" customHeight="1" x14ac:dyDescent="0.25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</row>
    <row r="307" spans="1:26" ht="12.75" customHeight="1" x14ac:dyDescent="0.25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</row>
    <row r="308" spans="1:26" ht="12.75" customHeight="1" x14ac:dyDescent="0.25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</row>
    <row r="309" spans="1:26" ht="12.75" customHeight="1" x14ac:dyDescent="0.25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</row>
    <row r="310" spans="1:26" ht="12.75" customHeight="1" x14ac:dyDescent="0.25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</row>
    <row r="311" spans="1:26" ht="12.75" customHeight="1" x14ac:dyDescent="0.25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</row>
    <row r="312" spans="1:26" ht="12.75" customHeight="1" x14ac:dyDescent="0.25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</row>
    <row r="313" spans="1:26" ht="12.75" customHeight="1" x14ac:dyDescent="0.25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</row>
    <row r="314" spans="1:26" ht="12.75" customHeight="1" x14ac:dyDescent="0.25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</row>
    <row r="315" spans="1:26" ht="12.75" customHeight="1" x14ac:dyDescent="0.25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</row>
    <row r="316" spans="1:26" ht="12.75" customHeight="1" x14ac:dyDescent="0.25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</row>
    <row r="317" spans="1:26" ht="12.75" customHeight="1" x14ac:dyDescent="0.25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</row>
    <row r="318" spans="1:26" ht="12.75" customHeight="1" x14ac:dyDescent="0.25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</row>
    <row r="319" spans="1:26" ht="12.75" customHeight="1" x14ac:dyDescent="0.25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</row>
    <row r="320" spans="1:26" ht="12.75" customHeight="1" x14ac:dyDescent="0.25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</row>
    <row r="321" spans="1:26" ht="12.75" customHeight="1" x14ac:dyDescent="0.25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</row>
    <row r="322" spans="1:26" ht="12.75" customHeight="1" x14ac:dyDescent="0.25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</row>
    <row r="323" spans="1:26" ht="12.75" customHeight="1" x14ac:dyDescent="0.25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</row>
    <row r="324" spans="1:26" ht="12.75" customHeight="1" x14ac:dyDescent="0.25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</row>
    <row r="325" spans="1:26" ht="12.75" customHeight="1" x14ac:dyDescent="0.25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</row>
    <row r="326" spans="1:26" ht="12.75" customHeight="1" x14ac:dyDescent="0.25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</row>
    <row r="327" spans="1:26" ht="12.75" customHeight="1" x14ac:dyDescent="0.25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</row>
    <row r="328" spans="1:26" ht="12.75" customHeight="1" x14ac:dyDescent="0.25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</row>
    <row r="329" spans="1:26" ht="12.75" customHeight="1" x14ac:dyDescent="0.25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</row>
    <row r="330" spans="1:26" ht="12.75" customHeight="1" x14ac:dyDescent="0.25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</row>
    <row r="331" spans="1:26" ht="12.75" customHeight="1" x14ac:dyDescent="0.25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</row>
    <row r="332" spans="1:26" ht="12.75" customHeight="1" x14ac:dyDescent="0.25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</row>
    <row r="333" spans="1:26" ht="12.75" customHeight="1" x14ac:dyDescent="0.25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</row>
    <row r="334" spans="1:26" ht="12.75" customHeight="1" x14ac:dyDescent="0.25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</row>
    <row r="335" spans="1:26" ht="12.75" customHeight="1" x14ac:dyDescent="0.25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</row>
    <row r="336" spans="1:26" ht="12.75" customHeight="1" x14ac:dyDescent="0.25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</row>
    <row r="337" spans="1:26" ht="12.75" customHeight="1" x14ac:dyDescent="0.25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</row>
    <row r="338" spans="1:26" ht="12.75" customHeight="1" x14ac:dyDescent="0.25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</row>
    <row r="339" spans="1:26" ht="12.75" customHeight="1" x14ac:dyDescent="0.25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</row>
    <row r="340" spans="1:26" ht="12.75" customHeight="1" x14ac:dyDescent="0.25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</row>
    <row r="341" spans="1:26" ht="12.75" customHeight="1" x14ac:dyDescent="0.25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</row>
    <row r="342" spans="1:26" ht="12.75" customHeight="1" x14ac:dyDescent="0.25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</row>
    <row r="343" spans="1:26" ht="12.75" customHeight="1" x14ac:dyDescent="0.25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</row>
    <row r="344" spans="1:26" ht="12.75" customHeight="1" x14ac:dyDescent="0.25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</row>
    <row r="345" spans="1:26" ht="12.75" customHeight="1" x14ac:dyDescent="0.25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</row>
    <row r="346" spans="1:26" ht="12.75" customHeight="1" x14ac:dyDescent="0.25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</row>
    <row r="347" spans="1:26" ht="12.75" customHeight="1" x14ac:dyDescent="0.25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</row>
    <row r="348" spans="1:26" ht="12.75" customHeight="1" x14ac:dyDescent="0.25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</row>
    <row r="349" spans="1:26" ht="12.75" customHeight="1" x14ac:dyDescent="0.25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</row>
    <row r="350" spans="1:26" ht="12.75" customHeight="1" x14ac:dyDescent="0.25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</row>
    <row r="351" spans="1:26" ht="12.75" customHeight="1" x14ac:dyDescent="0.25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</row>
    <row r="352" spans="1:26" ht="12.75" customHeight="1" x14ac:dyDescent="0.25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</row>
    <row r="353" spans="1:26" ht="12.75" customHeight="1" x14ac:dyDescent="0.25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</row>
    <row r="354" spans="1:26" ht="12.75" customHeight="1" x14ac:dyDescent="0.25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</row>
    <row r="355" spans="1:26" ht="12.75" customHeight="1" x14ac:dyDescent="0.25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</row>
    <row r="356" spans="1:26" ht="12.75" customHeight="1" x14ac:dyDescent="0.25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</row>
    <row r="357" spans="1:26" ht="12.75" customHeight="1" x14ac:dyDescent="0.25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</row>
    <row r="358" spans="1:26" ht="12.75" customHeight="1" x14ac:dyDescent="0.25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</row>
    <row r="359" spans="1:26" ht="12.75" customHeight="1" x14ac:dyDescent="0.25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</row>
    <row r="360" spans="1:26" ht="12.75" customHeight="1" x14ac:dyDescent="0.25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</row>
    <row r="361" spans="1:26" ht="12.75" customHeight="1" x14ac:dyDescent="0.25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</row>
    <row r="362" spans="1:26" ht="12.75" customHeight="1" x14ac:dyDescent="0.25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</row>
    <row r="363" spans="1:26" ht="12.75" customHeight="1" x14ac:dyDescent="0.25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</row>
    <row r="364" spans="1:26" ht="12.75" customHeight="1" x14ac:dyDescent="0.25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</row>
    <row r="365" spans="1:26" ht="12.75" customHeight="1" x14ac:dyDescent="0.25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</row>
    <row r="366" spans="1:26" ht="12.75" customHeight="1" x14ac:dyDescent="0.25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</row>
    <row r="367" spans="1:26" ht="12.75" customHeight="1" x14ac:dyDescent="0.25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</row>
    <row r="368" spans="1:26" ht="12.75" customHeight="1" x14ac:dyDescent="0.25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</row>
    <row r="369" spans="1:26" ht="12.75" customHeight="1" x14ac:dyDescent="0.25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</row>
    <row r="370" spans="1:26" ht="12.75" customHeight="1" x14ac:dyDescent="0.25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</row>
    <row r="371" spans="1:26" ht="12.75" customHeight="1" x14ac:dyDescent="0.25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</row>
    <row r="372" spans="1:26" ht="12.75" customHeight="1" x14ac:dyDescent="0.25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</row>
    <row r="373" spans="1:26" ht="12.75" customHeight="1" x14ac:dyDescent="0.25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</row>
    <row r="374" spans="1:26" ht="12.75" customHeight="1" x14ac:dyDescent="0.25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</row>
    <row r="375" spans="1:26" ht="12.75" customHeight="1" x14ac:dyDescent="0.25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</row>
    <row r="376" spans="1:26" ht="12.75" customHeight="1" x14ac:dyDescent="0.25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</row>
    <row r="377" spans="1:26" ht="12.75" customHeight="1" x14ac:dyDescent="0.25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</row>
    <row r="378" spans="1:26" ht="12.75" customHeight="1" x14ac:dyDescent="0.25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</row>
    <row r="379" spans="1:26" ht="12.75" customHeight="1" x14ac:dyDescent="0.25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</row>
    <row r="380" spans="1:26" ht="12.75" customHeight="1" x14ac:dyDescent="0.25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</row>
    <row r="381" spans="1:26" ht="12.75" customHeight="1" x14ac:dyDescent="0.25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</row>
    <row r="382" spans="1:26" ht="12.75" customHeight="1" x14ac:dyDescent="0.25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</row>
    <row r="383" spans="1:26" ht="12.75" customHeight="1" x14ac:dyDescent="0.25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</row>
    <row r="384" spans="1:26" ht="12.75" customHeight="1" x14ac:dyDescent="0.25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</row>
    <row r="385" spans="1:26" ht="12.75" customHeight="1" x14ac:dyDescent="0.25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</row>
    <row r="386" spans="1:26" ht="12.75" customHeight="1" x14ac:dyDescent="0.25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</row>
    <row r="387" spans="1:26" ht="12.75" customHeight="1" x14ac:dyDescent="0.25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</row>
    <row r="388" spans="1:26" ht="12.75" customHeight="1" x14ac:dyDescent="0.25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</row>
    <row r="389" spans="1:26" ht="12.75" customHeight="1" x14ac:dyDescent="0.25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</row>
    <row r="390" spans="1:26" ht="12.75" customHeight="1" x14ac:dyDescent="0.25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</row>
    <row r="391" spans="1:26" ht="12.75" customHeight="1" x14ac:dyDescent="0.25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</row>
    <row r="392" spans="1:26" ht="12.75" customHeight="1" x14ac:dyDescent="0.25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</row>
    <row r="393" spans="1:26" ht="12.75" customHeight="1" x14ac:dyDescent="0.25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</row>
    <row r="394" spans="1:26" ht="12.75" customHeight="1" x14ac:dyDescent="0.25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</row>
    <row r="395" spans="1:26" ht="12.75" customHeight="1" x14ac:dyDescent="0.25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</row>
    <row r="396" spans="1:26" ht="12.75" customHeight="1" x14ac:dyDescent="0.25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</row>
    <row r="397" spans="1:26" ht="12.75" customHeight="1" x14ac:dyDescent="0.25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</row>
    <row r="398" spans="1:26" ht="12.75" customHeight="1" x14ac:dyDescent="0.25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</row>
    <row r="399" spans="1:26" ht="12.75" customHeight="1" x14ac:dyDescent="0.25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</row>
    <row r="400" spans="1:26" ht="12.75" customHeight="1" x14ac:dyDescent="0.25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</row>
    <row r="401" spans="1:26" ht="12.75" customHeight="1" x14ac:dyDescent="0.25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</row>
    <row r="402" spans="1:26" ht="12.75" customHeight="1" x14ac:dyDescent="0.25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</row>
    <row r="403" spans="1:26" ht="12.75" customHeight="1" x14ac:dyDescent="0.25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</row>
    <row r="404" spans="1:26" ht="12.75" customHeight="1" x14ac:dyDescent="0.25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</row>
    <row r="405" spans="1:26" ht="12.75" customHeight="1" x14ac:dyDescent="0.25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</row>
    <row r="406" spans="1:26" ht="12.75" customHeight="1" x14ac:dyDescent="0.25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</row>
    <row r="407" spans="1:26" ht="12.75" customHeight="1" x14ac:dyDescent="0.25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</row>
    <row r="408" spans="1:26" ht="12.75" customHeight="1" x14ac:dyDescent="0.25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</row>
    <row r="409" spans="1:26" ht="12.75" customHeight="1" x14ac:dyDescent="0.25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</row>
    <row r="410" spans="1:26" ht="12.75" customHeight="1" x14ac:dyDescent="0.25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</row>
    <row r="411" spans="1:26" ht="12.75" customHeight="1" x14ac:dyDescent="0.25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</row>
    <row r="412" spans="1:26" ht="12.75" customHeight="1" x14ac:dyDescent="0.25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</row>
    <row r="413" spans="1:26" ht="12.75" customHeight="1" x14ac:dyDescent="0.25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</row>
    <row r="414" spans="1:26" ht="12.75" customHeight="1" x14ac:dyDescent="0.25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</row>
    <row r="415" spans="1:26" ht="12.75" customHeight="1" x14ac:dyDescent="0.25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</row>
    <row r="416" spans="1:26" ht="12.75" customHeight="1" x14ac:dyDescent="0.25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</row>
    <row r="417" spans="1:26" ht="12.75" customHeight="1" x14ac:dyDescent="0.25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</row>
    <row r="418" spans="1:26" ht="12.75" customHeight="1" x14ac:dyDescent="0.25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</row>
    <row r="419" spans="1:26" ht="12.75" customHeight="1" x14ac:dyDescent="0.25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</row>
    <row r="420" spans="1:26" ht="12.75" customHeight="1" x14ac:dyDescent="0.25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</row>
    <row r="421" spans="1:26" ht="12.75" customHeight="1" x14ac:dyDescent="0.25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</row>
    <row r="422" spans="1:26" ht="12.75" customHeight="1" x14ac:dyDescent="0.25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</row>
    <row r="423" spans="1:26" ht="12.75" customHeight="1" x14ac:dyDescent="0.25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</row>
    <row r="424" spans="1:26" ht="12.75" customHeight="1" x14ac:dyDescent="0.25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</row>
    <row r="425" spans="1:26" ht="12.75" customHeight="1" x14ac:dyDescent="0.25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</row>
    <row r="426" spans="1:26" ht="12.75" customHeight="1" x14ac:dyDescent="0.25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</row>
    <row r="427" spans="1:26" ht="12.75" customHeight="1" x14ac:dyDescent="0.25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</row>
    <row r="428" spans="1:26" ht="12.75" customHeight="1" x14ac:dyDescent="0.25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</row>
    <row r="429" spans="1:26" ht="12.75" customHeight="1" x14ac:dyDescent="0.25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</row>
    <row r="430" spans="1:26" ht="12.75" customHeight="1" x14ac:dyDescent="0.25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</row>
    <row r="431" spans="1:26" ht="12.75" customHeight="1" x14ac:dyDescent="0.25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</row>
    <row r="432" spans="1:26" ht="12.75" customHeight="1" x14ac:dyDescent="0.25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</row>
    <row r="433" spans="1:26" ht="12.75" customHeight="1" x14ac:dyDescent="0.25">
      <c r="A433" s="150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</row>
    <row r="434" spans="1:26" ht="12.75" customHeight="1" x14ac:dyDescent="0.25">
      <c r="A434" s="150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</row>
    <row r="435" spans="1:26" ht="12.75" customHeight="1" x14ac:dyDescent="0.25">
      <c r="A435" s="150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</row>
    <row r="436" spans="1:26" ht="12.75" customHeight="1" x14ac:dyDescent="0.25">
      <c r="A436" s="150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</row>
    <row r="437" spans="1:26" ht="12.75" customHeight="1" x14ac:dyDescent="0.25">
      <c r="A437" s="150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</row>
    <row r="438" spans="1:26" ht="12.75" customHeight="1" x14ac:dyDescent="0.25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</row>
    <row r="439" spans="1:26" ht="12.75" customHeight="1" x14ac:dyDescent="0.25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</row>
    <row r="440" spans="1:26" ht="12.75" customHeight="1" x14ac:dyDescent="0.25">
      <c r="A440" s="150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</row>
    <row r="441" spans="1:26" ht="12.75" customHeight="1" x14ac:dyDescent="0.25">
      <c r="A441" s="150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</row>
    <row r="442" spans="1:26" ht="12.75" customHeight="1" x14ac:dyDescent="0.25">
      <c r="A442" s="150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</row>
    <row r="443" spans="1:26" ht="12.75" customHeight="1" x14ac:dyDescent="0.25">
      <c r="A443" s="150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</row>
    <row r="444" spans="1:26" ht="12.75" customHeight="1" x14ac:dyDescent="0.25">
      <c r="A444" s="150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</row>
    <row r="445" spans="1:26" ht="12.75" customHeight="1" x14ac:dyDescent="0.25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</row>
    <row r="446" spans="1:26" ht="12.75" customHeight="1" x14ac:dyDescent="0.25">
      <c r="A446" s="150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</row>
    <row r="447" spans="1:26" ht="12.75" customHeight="1" x14ac:dyDescent="0.25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</row>
    <row r="448" spans="1:26" ht="12.75" customHeight="1" x14ac:dyDescent="0.25">
      <c r="A448" s="150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</row>
    <row r="449" spans="1:26" ht="12.75" customHeight="1" x14ac:dyDescent="0.25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</row>
    <row r="450" spans="1:26" ht="12.75" customHeight="1" x14ac:dyDescent="0.25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</row>
    <row r="451" spans="1:26" ht="12.75" customHeight="1" x14ac:dyDescent="0.25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</row>
    <row r="452" spans="1:26" ht="12.75" customHeight="1" x14ac:dyDescent="0.25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</row>
    <row r="453" spans="1:26" ht="12.75" customHeight="1" x14ac:dyDescent="0.25">
      <c r="A453" s="150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</row>
    <row r="454" spans="1:26" ht="12.75" customHeight="1" x14ac:dyDescent="0.25">
      <c r="A454" s="150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</row>
    <row r="455" spans="1:26" ht="12.75" customHeight="1" x14ac:dyDescent="0.25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</row>
    <row r="456" spans="1:26" ht="12.75" customHeight="1" x14ac:dyDescent="0.25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</row>
    <row r="457" spans="1:26" ht="12.75" customHeight="1" x14ac:dyDescent="0.25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</row>
    <row r="458" spans="1:26" ht="12.75" customHeight="1" x14ac:dyDescent="0.25">
      <c r="A458" s="150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</row>
    <row r="459" spans="1:26" ht="12.75" customHeight="1" x14ac:dyDescent="0.25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</row>
    <row r="460" spans="1:26" ht="12.75" customHeight="1" x14ac:dyDescent="0.25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</row>
    <row r="461" spans="1:26" ht="12.75" customHeight="1" x14ac:dyDescent="0.25">
      <c r="A461" s="150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</row>
    <row r="462" spans="1:26" ht="12.75" customHeight="1" x14ac:dyDescent="0.25">
      <c r="A462" s="150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</row>
    <row r="463" spans="1:26" ht="12.75" customHeight="1" x14ac:dyDescent="0.25">
      <c r="A463" s="150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</row>
    <row r="464" spans="1:26" ht="12.75" customHeight="1" x14ac:dyDescent="0.25">
      <c r="A464" s="150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</row>
    <row r="465" spans="1:26" ht="12.75" customHeight="1" x14ac:dyDescent="0.25">
      <c r="A465" s="150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</row>
    <row r="466" spans="1:26" ht="12.75" customHeight="1" x14ac:dyDescent="0.25">
      <c r="A466" s="150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</row>
    <row r="467" spans="1:26" ht="12.75" customHeight="1" x14ac:dyDescent="0.25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</row>
    <row r="468" spans="1:26" ht="12.75" customHeight="1" x14ac:dyDescent="0.25">
      <c r="A468" s="150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</row>
    <row r="469" spans="1:26" ht="12.75" customHeight="1" x14ac:dyDescent="0.25">
      <c r="A469" s="150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</row>
    <row r="470" spans="1:26" ht="12.75" customHeight="1" x14ac:dyDescent="0.25">
      <c r="A470" s="150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</row>
    <row r="471" spans="1:26" ht="12.75" customHeight="1" x14ac:dyDescent="0.25">
      <c r="A471" s="150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</row>
    <row r="472" spans="1:26" ht="12.75" customHeight="1" x14ac:dyDescent="0.25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</row>
    <row r="473" spans="1:26" ht="12.75" customHeight="1" x14ac:dyDescent="0.25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</row>
    <row r="474" spans="1:26" ht="12.75" customHeight="1" x14ac:dyDescent="0.25">
      <c r="A474" s="15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</row>
    <row r="475" spans="1:26" ht="12.75" customHeight="1" x14ac:dyDescent="0.25">
      <c r="A475" s="150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</row>
    <row r="476" spans="1:26" ht="12.75" customHeight="1" x14ac:dyDescent="0.25">
      <c r="A476" s="150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</row>
    <row r="477" spans="1:26" ht="12.75" customHeight="1" x14ac:dyDescent="0.25">
      <c r="A477" s="15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</row>
    <row r="478" spans="1:26" ht="12.75" customHeight="1" x14ac:dyDescent="0.25">
      <c r="A478" s="150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</row>
    <row r="479" spans="1:26" ht="12.75" customHeight="1" x14ac:dyDescent="0.25">
      <c r="A479" s="150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</row>
    <row r="480" spans="1:26" ht="12.75" customHeight="1" x14ac:dyDescent="0.25">
      <c r="A480" s="150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</row>
    <row r="481" spans="1:26" ht="12.75" customHeight="1" x14ac:dyDescent="0.25">
      <c r="A481" s="150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</row>
    <row r="482" spans="1:26" ht="12.75" customHeight="1" x14ac:dyDescent="0.25">
      <c r="A482" s="150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</row>
    <row r="483" spans="1:26" ht="12.75" customHeight="1" x14ac:dyDescent="0.25">
      <c r="A483" s="150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</row>
    <row r="484" spans="1:26" ht="12.75" customHeight="1" x14ac:dyDescent="0.25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</row>
    <row r="485" spans="1:26" ht="12.75" customHeight="1" x14ac:dyDescent="0.25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</row>
    <row r="486" spans="1:26" ht="12.75" customHeight="1" x14ac:dyDescent="0.25">
      <c r="A486" s="15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</row>
    <row r="487" spans="1:26" ht="12.75" customHeight="1" x14ac:dyDescent="0.25">
      <c r="A487" s="150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</row>
    <row r="488" spans="1:26" ht="12.75" customHeight="1" x14ac:dyDescent="0.25">
      <c r="A488" s="150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</row>
    <row r="489" spans="1:26" ht="12.75" customHeight="1" x14ac:dyDescent="0.25">
      <c r="A489" s="150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</row>
    <row r="490" spans="1:26" ht="12.75" customHeight="1" x14ac:dyDescent="0.25">
      <c r="A490" s="150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</row>
    <row r="491" spans="1:26" ht="12.75" customHeight="1" x14ac:dyDescent="0.25">
      <c r="A491" s="150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</row>
    <row r="492" spans="1:26" ht="12.75" customHeight="1" x14ac:dyDescent="0.25">
      <c r="A492" s="150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</row>
    <row r="493" spans="1:26" ht="12.75" customHeight="1" x14ac:dyDescent="0.25">
      <c r="A493" s="150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</row>
    <row r="494" spans="1:26" ht="12.75" customHeight="1" x14ac:dyDescent="0.25">
      <c r="A494" s="150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</row>
    <row r="495" spans="1:26" ht="12.75" customHeight="1" x14ac:dyDescent="0.25">
      <c r="A495" s="150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</row>
    <row r="496" spans="1:26" ht="12.75" customHeight="1" x14ac:dyDescent="0.25">
      <c r="A496" s="150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</row>
    <row r="497" spans="1:26" ht="12.75" customHeight="1" x14ac:dyDescent="0.25">
      <c r="A497" s="150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</row>
    <row r="498" spans="1:26" ht="12.75" customHeight="1" x14ac:dyDescent="0.25">
      <c r="A498" s="150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</row>
    <row r="499" spans="1:26" ht="12.75" customHeight="1" x14ac:dyDescent="0.25">
      <c r="A499" s="150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</row>
    <row r="500" spans="1:26" ht="12.75" customHeight="1" x14ac:dyDescent="0.25">
      <c r="A500" s="150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</row>
    <row r="501" spans="1:26" ht="12.75" customHeight="1" x14ac:dyDescent="0.25">
      <c r="A501" s="150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</row>
    <row r="502" spans="1:26" ht="12.75" customHeight="1" x14ac:dyDescent="0.25">
      <c r="A502" s="150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</row>
    <row r="503" spans="1:26" ht="12.75" customHeight="1" x14ac:dyDescent="0.25">
      <c r="A503" s="150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</row>
    <row r="504" spans="1:26" ht="12.75" customHeight="1" x14ac:dyDescent="0.25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</row>
    <row r="505" spans="1:26" ht="12.75" customHeight="1" x14ac:dyDescent="0.25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</row>
    <row r="506" spans="1:26" ht="12.75" customHeight="1" x14ac:dyDescent="0.25">
      <c r="A506" s="150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</row>
    <row r="507" spans="1:26" ht="12.75" customHeight="1" x14ac:dyDescent="0.25">
      <c r="A507" s="150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</row>
    <row r="508" spans="1:26" ht="12.75" customHeight="1" x14ac:dyDescent="0.25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</row>
    <row r="509" spans="1:26" ht="12.75" customHeight="1" x14ac:dyDescent="0.25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</row>
    <row r="510" spans="1:26" ht="12.75" customHeight="1" x14ac:dyDescent="0.25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</row>
    <row r="511" spans="1:26" ht="12.75" customHeight="1" x14ac:dyDescent="0.25">
      <c r="A511" s="150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</row>
    <row r="512" spans="1:26" ht="12.75" customHeight="1" x14ac:dyDescent="0.25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</row>
    <row r="513" spans="1:26" ht="12.75" customHeight="1" x14ac:dyDescent="0.25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</row>
    <row r="514" spans="1:26" ht="12.75" customHeight="1" x14ac:dyDescent="0.25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</row>
    <row r="515" spans="1:26" ht="12.75" customHeight="1" x14ac:dyDescent="0.25">
      <c r="A515" s="150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</row>
    <row r="516" spans="1:26" ht="12.75" customHeight="1" x14ac:dyDescent="0.25">
      <c r="A516" s="150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</row>
    <row r="517" spans="1:26" ht="12.75" customHeight="1" x14ac:dyDescent="0.25">
      <c r="A517" s="150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</row>
    <row r="518" spans="1:26" ht="12.75" customHeight="1" x14ac:dyDescent="0.25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</row>
    <row r="519" spans="1:26" ht="12.75" customHeight="1" x14ac:dyDescent="0.25">
      <c r="A519" s="150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</row>
    <row r="520" spans="1:26" ht="12.75" customHeight="1" x14ac:dyDescent="0.25">
      <c r="A520" s="150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</row>
    <row r="521" spans="1:26" ht="12.75" customHeight="1" x14ac:dyDescent="0.25">
      <c r="A521" s="150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</row>
    <row r="522" spans="1:26" ht="12.75" customHeight="1" x14ac:dyDescent="0.25">
      <c r="A522" s="150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</row>
    <row r="523" spans="1:26" ht="12.75" customHeight="1" x14ac:dyDescent="0.25">
      <c r="A523" s="150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</row>
    <row r="524" spans="1:26" ht="12.75" customHeight="1" x14ac:dyDescent="0.25">
      <c r="A524" s="150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</row>
    <row r="525" spans="1:26" ht="12.75" customHeight="1" x14ac:dyDescent="0.25">
      <c r="A525" s="150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</row>
    <row r="526" spans="1:26" ht="12.75" customHeight="1" x14ac:dyDescent="0.25">
      <c r="A526" s="150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</row>
    <row r="527" spans="1:26" ht="12.75" customHeight="1" x14ac:dyDescent="0.25">
      <c r="A527" s="150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</row>
    <row r="528" spans="1:26" ht="12.75" customHeight="1" x14ac:dyDescent="0.25">
      <c r="A528" s="150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</row>
    <row r="529" spans="1:26" ht="12.75" customHeight="1" x14ac:dyDescent="0.25">
      <c r="A529" s="150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</row>
    <row r="530" spans="1:26" ht="12.75" customHeight="1" x14ac:dyDescent="0.25">
      <c r="A530" s="150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</row>
    <row r="531" spans="1:26" ht="12.75" customHeight="1" x14ac:dyDescent="0.25">
      <c r="A531" s="150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</row>
    <row r="532" spans="1:26" ht="12.75" customHeight="1" x14ac:dyDescent="0.25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</row>
    <row r="533" spans="1:26" ht="12.75" customHeight="1" x14ac:dyDescent="0.25">
      <c r="A533" s="150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</row>
    <row r="534" spans="1:26" ht="12.75" customHeight="1" x14ac:dyDescent="0.25">
      <c r="A534" s="150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</row>
    <row r="535" spans="1:26" ht="12.75" customHeight="1" x14ac:dyDescent="0.25">
      <c r="A535" s="150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</row>
    <row r="536" spans="1:26" ht="12.75" customHeight="1" x14ac:dyDescent="0.25">
      <c r="A536" s="150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</row>
    <row r="537" spans="1:26" ht="12.75" customHeight="1" x14ac:dyDescent="0.25">
      <c r="A537" s="150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</row>
    <row r="538" spans="1:26" ht="12.75" customHeight="1" x14ac:dyDescent="0.25">
      <c r="A538" s="150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</row>
    <row r="539" spans="1:26" ht="12.75" customHeight="1" x14ac:dyDescent="0.25">
      <c r="A539" s="150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</row>
    <row r="540" spans="1:26" ht="12.75" customHeight="1" x14ac:dyDescent="0.25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</row>
    <row r="541" spans="1:26" ht="12.75" customHeight="1" x14ac:dyDescent="0.25">
      <c r="A541" s="150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</row>
    <row r="542" spans="1:26" ht="12.75" customHeight="1" x14ac:dyDescent="0.25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</row>
    <row r="543" spans="1:26" ht="12.75" customHeight="1" x14ac:dyDescent="0.25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</row>
    <row r="544" spans="1:26" ht="12.75" customHeight="1" x14ac:dyDescent="0.25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</row>
    <row r="545" spans="1:26" ht="12.75" customHeight="1" x14ac:dyDescent="0.25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</row>
    <row r="546" spans="1:26" ht="12.75" customHeight="1" x14ac:dyDescent="0.25">
      <c r="A546" s="150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</row>
    <row r="547" spans="1:26" ht="12.75" customHeight="1" x14ac:dyDescent="0.25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</row>
    <row r="548" spans="1:26" ht="12.75" customHeight="1" x14ac:dyDescent="0.25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</row>
    <row r="549" spans="1:26" ht="12.75" customHeight="1" x14ac:dyDescent="0.25">
      <c r="A549" s="150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</row>
    <row r="550" spans="1:26" ht="12.75" customHeight="1" x14ac:dyDescent="0.25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</row>
    <row r="551" spans="1:26" ht="12.75" customHeight="1" x14ac:dyDescent="0.25">
      <c r="A551" s="15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</row>
    <row r="552" spans="1:26" ht="12.75" customHeight="1" x14ac:dyDescent="0.25">
      <c r="A552" s="15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</row>
    <row r="553" spans="1:26" ht="12.75" customHeight="1" x14ac:dyDescent="0.25">
      <c r="A553" s="150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</row>
    <row r="554" spans="1:26" ht="12.75" customHeight="1" x14ac:dyDescent="0.25">
      <c r="A554" s="15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</row>
    <row r="555" spans="1:26" ht="12.75" customHeight="1" x14ac:dyDescent="0.25">
      <c r="A555" s="150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</row>
    <row r="556" spans="1:26" ht="12.75" customHeight="1" x14ac:dyDescent="0.25">
      <c r="A556" s="150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</row>
    <row r="557" spans="1:26" ht="12.75" customHeight="1" x14ac:dyDescent="0.25">
      <c r="A557" s="150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</row>
    <row r="558" spans="1:26" ht="12.75" customHeight="1" x14ac:dyDescent="0.25">
      <c r="A558" s="150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</row>
    <row r="559" spans="1:26" ht="12.75" customHeight="1" x14ac:dyDescent="0.25">
      <c r="A559" s="150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</row>
    <row r="560" spans="1:26" ht="12.75" customHeight="1" x14ac:dyDescent="0.25">
      <c r="A560" s="150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</row>
    <row r="561" spans="1:26" ht="12.75" customHeight="1" x14ac:dyDescent="0.25">
      <c r="A561" s="150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</row>
    <row r="562" spans="1:26" ht="12.75" customHeight="1" x14ac:dyDescent="0.25">
      <c r="A562" s="150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</row>
    <row r="563" spans="1:26" ht="12.75" customHeight="1" x14ac:dyDescent="0.25">
      <c r="A563" s="150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</row>
    <row r="564" spans="1:26" ht="12.75" customHeight="1" x14ac:dyDescent="0.25">
      <c r="A564" s="150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</row>
    <row r="565" spans="1:26" ht="12.75" customHeight="1" x14ac:dyDescent="0.25">
      <c r="A565" s="150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</row>
    <row r="566" spans="1:26" ht="12.75" customHeight="1" x14ac:dyDescent="0.25">
      <c r="A566" s="150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</row>
    <row r="567" spans="1:26" ht="12.75" customHeight="1" x14ac:dyDescent="0.25">
      <c r="A567" s="150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</row>
    <row r="568" spans="1:26" ht="12.75" customHeight="1" x14ac:dyDescent="0.25">
      <c r="A568" s="150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</row>
    <row r="569" spans="1:26" ht="12.75" customHeight="1" x14ac:dyDescent="0.25">
      <c r="A569" s="150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</row>
    <row r="570" spans="1:26" ht="12.75" customHeight="1" x14ac:dyDescent="0.25">
      <c r="A570" s="150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</row>
    <row r="571" spans="1:26" ht="12.75" customHeight="1" x14ac:dyDescent="0.25">
      <c r="A571" s="150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</row>
    <row r="572" spans="1:26" ht="12.75" customHeight="1" x14ac:dyDescent="0.25">
      <c r="A572" s="150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</row>
    <row r="573" spans="1:26" ht="12.75" customHeight="1" x14ac:dyDescent="0.25">
      <c r="A573" s="150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</row>
    <row r="574" spans="1:26" ht="12.75" customHeight="1" x14ac:dyDescent="0.25">
      <c r="A574" s="150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</row>
    <row r="575" spans="1:26" ht="12.75" customHeight="1" x14ac:dyDescent="0.25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</row>
    <row r="576" spans="1:26" ht="12.75" customHeight="1" x14ac:dyDescent="0.25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</row>
    <row r="577" spans="1:26" ht="12.75" customHeight="1" x14ac:dyDescent="0.25">
      <c r="A577" s="150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</row>
    <row r="578" spans="1:26" ht="12.75" customHeight="1" x14ac:dyDescent="0.25">
      <c r="A578" s="15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</row>
    <row r="579" spans="1:26" ht="12.75" customHeight="1" x14ac:dyDescent="0.25">
      <c r="A579" s="150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</row>
    <row r="580" spans="1:26" ht="12.75" customHeight="1" x14ac:dyDescent="0.25">
      <c r="A580" s="15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</row>
    <row r="581" spans="1:26" ht="12.75" customHeight="1" x14ac:dyDescent="0.25">
      <c r="A581" s="150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</row>
    <row r="582" spans="1:26" ht="12.75" customHeight="1" x14ac:dyDescent="0.25">
      <c r="A582" s="150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</row>
    <row r="583" spans="1:26" ht="12.75" customHeight="1" x14ac:dyDescent="0.25">
      <c r="A583" s="150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</row>
    <row r="584" spans="1:26" ht="12.75" customHeight="1" x14ac:dyDescent="0.25">
      <c r="A584" s="150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</row>
    <row r="585" spans="1:26" ht="12.75" customHeight="1" x14ac:dyDescent="0.25">
      <c r="A585" s="150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</row>
    <row r="586" spans="1:26" ht="12.75" customHeight="1" x14ac:dyDescent="0.25">
      <c r="A586" s="150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</row>
    <row r="587" spans="1:26" ht="12.75" customHeight="1" x14ac:dyDescent="0.25">
      <c r="A587" s="150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</row>
    <row r="588" spans="1:26" ht="12.75" customHeight="1" x14ac:dyDescent="0.25">
      <c r="A588" s="150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</row>
    <row r="589" spans="1:26" ht="12.75" customHeight="1" x14ac:dyDescent="0.25">
      <c r="A589" s="150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</row>
    <row r="590" spans="1:26" ht="12.75" customHeight="1" x14ac:dyDescent="0.25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</row>
    <row r="591" spans="1:26" ht="12.75" customHeight="1" x14ac:dyDescent="0.25">
      <c r="A591" s="150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</row>
    <row r="592" spans="1:26" ht="12.75" customHeight="1" x14ac:dyDescent="0.25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</row>
    <row r="593" spans="1:26" ht="12.75" customHeight="1" x14ac:dyDescent="0.25">
      <c r="A593" s="150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</row>
    <row r="594" spans="1:26" ht="12.75" customHeight="1" x14ac:dyDescent="0.25">
      <c r="A594" s="150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</row>
    <row r="595" spans="1:26" ht="12.75" customHeight="1" x14ac:dyDescent="0.25">
      <c r="A595" s="150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</row>
    <row r="596" spans="1:26" ht="12.75" customHeight="1" x14ac:dyDescent="0.25">
      <c r="A596" s="150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</row>
    <row r="597" spans="1:26" ht="12.75" customHeight="1" x14ac:dyDescent="0.25">
      <c r="A597" s="150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</row>
    <row r="598" spans="1:26" ht="12.75" customHeight="1" x14ac:dyDescent="0.25">
      <c r="A598" s="150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</row>
    <row r="599" spans="1:26" ht="12.75" customHeight="1" x14ac:dyDescent="0.25">
      <c r="A599" s="150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</row>
    <row r="600" spans="1:26" ht="12.75" customHeight="1" x14ac:dyDescent="0.25">
      <c r="A600" s="150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</row>
    <row r="601" spans="1:26" ht="12.75" customHeight="1" x14ac:dyDescent="0.25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</row>
    <row r="602" spans="1:26" ht="12.75" customHeight="1" x14ac:dyDescent="0.25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</row>
    <row r="603" spans="1:26" ht="12.75" customHeight="1" x14ac:dyDescent="0.25">
      <c r="A603" s="150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</row>
    <row r="604" spans="1:26" ht="12.75" customHeight="1" x14ac:dyDescent="0.25">
      <c r="A604" s="150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</row>
    <row r="605" spans="1:26" ht="12.75" customHeight="1" x14ac:dyDescent="0.25">
      <c r="A605" s="150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</row>
    <row r="606" spans="1:26" ht="12.75" customHeight="1" x14ac:dyDescent="0.25">
      <c r="A606" s="150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</row>
    <row r="607" spans="1:26" ht="12.75" customHeight="1" x14ac:dyDescent="0.25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</row>
    <row r="608" spans="1:26" ht="12.75" customHeight="1" x14ac:dyDescent="0.25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</row>
    <row r="609" spans="1:26" ht="12.75" customHeight="1" x14ac:dyDescent="0.25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</row>
    <row r="610" spans="1:26" ht="12.75" customHeight="1" x14ac:dyDescent="0.25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</row>
    <row r="611" spans="1:26" ht="12.75" customHeight="1" x14ac:dyDescent="0.25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</row>
    <row r="612" spans="1:26" ht="12.75" customHeight="1" x14ac:dyDescent="0.25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</row>
    <row r="613" spans="1:26" ht="12.75" customHeight="1" x14ac:dyDescent="0.25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</row>
    <row r="614" spans="1:26" ht="12.75" customHeight="1" x14ac:dyDescent="0.25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</row>
    <row r="615" spans="1:26" ht="12.75" customHeight="1" x14ac:dyDescent="0.25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</row>
    <row r="616" spans="1:26" ht="12.75" customHeight="1" x14ac:dyDescent="0.25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</row>
    <row r="617" spans="1:26" ht="12.75" customHeight="1" x14ac:dyDescent="0.25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</row>
    <row r="618" spans="1:26" ht="12.75" customHeight="1" x14ac:dyDescent="0.25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</row>
    <row r="619" spans="1:26" ht="12.75" customHeight="1" x14ac:dyDescent="0.25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</row>
    <row r="620" spans="1:26" ht="12.75" customHeight="1" x14ac:dyDescent="0.25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</row>
    <row r="621" spans="1:26" ht="12.75" customHeight="1" x14ac:dyDescent="0.25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</row>
    <row r="622" spans="1:26" ht="12.75" customHeight="1" x14ac:dyDescent="0.25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</row>
    <row r="623" spans="1:26" ht="12.75" customHeight="1" x14ac:dyDescent="0.25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</row>
    <row r="624" spans="1:26" ht="12.75" customHeight="1" x14ac:dyDescent="0.25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</row>
    <row r="625" spans="1:26" ht="12.75" customHeight="1" x14ac:dyDescent="0.25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</row>
    <row r="626" spans="1:26" ht="12.75" customHeight="1" x14ac:dyDescent="0.25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</row>
    <row r="627" spans="1:26" ht="12.75" customHeight="1" x14ac:dyDescent="0.25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</row>
    <row r="628" spans="1:26" ht="12.75" customHeight="1" x14ac:dyDescent="0.25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</row>
    <row r="629" spans="1:26" ht="12.75" customHeight="1" x14ac:dyDescent="0.25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</row>
    <row r="630" spans="1:26" ht="12.75" customHeight="1" x14ac:dyDescent="0.25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</row>
    <row r="631" spans="1:26" ht="12.75" customHeight="1" x14ac:dyDescent="0.25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</row>
    <row r="632" spans="1:26" ht="12.75" customHeight="1" x14ac:dyDescent="0.25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</row>
    <row r="633" spans="1:26" ht="12.75" customHeight="1" x14ac:dyDescent="0.25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</row>
    <row r="634" spans="1:26" ht="12.75" customHeight="1" x14ac:dyDescent="0.25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</row>
    <row r="635" spans="1:26" ht="12.75" customHeight="1" x14ac:dyDescent="0.25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</row>
    <row r="636" spans="1:26" ht="12.75" customHeight="1" x14ac:dyDescent="0.25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</row>
    <row r="637" spans="1:26" ht="12.75" customHeight="1" x14ac:dyDescent="0.25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</row>
    <row r="638" spans="1:26" ht="12.75" customHeight="1" x14ac:dyDescent="0.25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</row>
    <row r="639" spans="1:26" ht="12.75" customHeight="1" x14ac:dyDescent="0.25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</row>
    <row r="640" spans="1:26" ht="12.75" customHeight="1" x14ac:dyDescent="0.25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</row>
    <row r="641" spans="1:26" ht="12.75" customHeight="1" x14ac:dyDescent="0.25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</row>
    <row r="642" spans="1:26" ht="12.75" customHeight="1" x14ac:dyDescent="0.25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</row>
    <row r="643" spans="1:26" ht="12.75" customHeight="1" x14ac:dyDescent="0.25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</row>
    <row r="644" spans="1:26" ht="12.75" customHeight="1" x14ac:dyDescent="0.25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</row>
    <row r="645" spans="1:26" ht="12.75" customHeight="1" x14ac:dyDescent="0.25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</row>
    <row r="646" spans="1:26" ht="12.75" customHeight="1" x14ac:dyDescent="0.25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</row>
    <row r="647" spans="1:26" ht="12.75" customHeight="1" x14ac:dyDescent="0.25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</row>
    <row r="648" spans="1:26" ht="12.75" customHeight="1" x14ac:dyDescent="0.25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</row>
    <row r="649" spans="1:26" ht="12.75" customHeight="1" x14ac:dyDescent="0.25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</row>
    <row r="650" spans="1:26" ht="12.75" customHeight="1" x14ac:dyDescent="0.25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</row>
    <row r="651" spans="1:26" ht="12.75" customHeight="1" x14ac:dyDescent="0.25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</row>
    <row r="652" spans="1:26" ht="12.75" customHeight="1" x14ac:dyDescent="0.25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</row>
    <row r="653" spans="1:26" ht="12.75" customHeight="1" x14ac:dyDescent="0.25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</row>
    <row r="654" spans="1:26" ht="12.75" customHeight="1" x14ac:dyDescent="0.25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</row>
    <row r="655" spans="1:26" ht="12.75" customHeight="1" x14ac:dyDescent="0.25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</row>
    <row r="656" spans="1:26" ht="12.75" customHeight="1" x14ac:dyDescent="0.25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</row>
    <row r="657" spans="1:26" ht="12.75" customHeight="1" x14ac:dyDescent="0.25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</row>
    <row r="658" spans="1:26" ht="12.75" customHeight="1" x14ac:dyDescent="0.25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</row>
    <row r="659" spans="1:26" ht="12.75" customHeight="1" x14ac:dyDescent="0.25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</row>
    <row r="660" spans="1:26" ht="12.75" customHeight="1" x14ac:dyDescent="0.25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</row>
    <row r="661" spans="1:26" ht="12.75" customHeight="1" x14ac:dyDescent="0.25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</row>
    <row r="662" spans="1:26" ht="12.75" customHeight="1" x14ac:dyDescent="0.25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</row>
    <row r="663" spans="1:26" ht="12.75" customHeight="1" x14ac:dyDescent="0.25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</row>
    <row r="664" spans="1:26" ht="12.75" customHeight="1" x14ac:dyDescent="0.25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</row>
    <row r="665" spans="1:26" ht="12.75" customHeight="1" x14ac:dyDescent="0.25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</row>
    <row r="666" spans="1:26" ht="12.75" customHeight="1" x14ac:dyDescent="0.25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</row>
    <row r="667" spans="1:26" ht="12.75" customHeight="1" x14ac:dyDescent="0.25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</row>
    <row r="668" spans="1:26" ht="12.75" customHeight="1" x14ac:dyDescent="0.25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</row>
    <row r="669" spans="1:26" ht="12.75" customHeight="1" x14ac:dyDescent="0.25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</row>
    <row r="670" spans="1:26" ht="12.75" customHeight="1" x14ac:dyDescent="0.25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</row>
    <row r="671" spans="1:26" ht="12.75" customHeight="1" x14ac:dyDescent="0.25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</row>
    <row r="672" spans="1:26" ht="12.75" customHeight="1" x14ac:dyDescent="0.25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</row>
    <row r="673" spans="1:26" ht="12.75" customHeight="1" x14ac:dyDescent="0.25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</row>
    <row r="674" spans="1:26" ht="12.75" customHeight="1" x14ac:dyDescent="0.25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</row>
    <row r="675" spans="1:26" ht="12.75" customHeight="1" x14ac:dyDescent="0.25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</row>
    <row r="676" spans="1:26" ht="12.75" customHeight="1" x14ac:dyDescent="0.25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</row>
    <row r="677" spans="1:26" ht="12.75" customHeight="1" x14ac:dyDescent="0.25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</row>
    <row r="678" spans="1:26" ht="12.75" customHeight="1" x14ac:dyDescent="0.25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</row>
    <row r="679" spans="1:26" ht="12.75" customHeight="1" x14ac:dyDescent="0.25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</row>
    <row r="680" spans="1:26" ht="12.75" customHeight="1" x14ac:dyDescent="0.25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</row>
    <row r="681" spans="1:26" ht="12.75" customHeight="1" x14ac:dyDescent="0.25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</row>
    <row r="682" spans="1:26" ht="12.75" customHeight="1" x14ac:dyDescent="0.25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</row>
    <row r="683" spans="1:26" ht="12.75" customHeight="1" x14ac:dyDescent="0.25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</row>
    <row r="684" spans="1:26" ht="12.75" customHeight="1" x14ac:dyDescent="0.25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</row>
    <row r="685" spans="1:26" ht="12.75" customHeight="1" x14ac:dyDescent="0.25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</row>
    <row r="686" spans="1:26" ht="12.75" customHeight="1" x14ac:dyDescent="0.25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</row>
    <row r="687" spans="1:26" ht="12.75" customHeight="1" x14ac:dyDescent="0.25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</row>
    <row r="688" spans="1:26" ht="12.75" customHeight="1" x14ac:dyDescent="0.25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</row>
    <row r="689" spans="1:26" ht="12.75" customHeight="1" x14ac:dyDescent="0.25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</row>
    <row r="690" spans="1:26" ht="12.75" customHeight="1" x14ac:dyDescent="0.25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</row>
    <row r="691" spans="1:26" ht="12.75" customHeight="1" x14ac:dyDescent="0.25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</row>
    <row r="692" spans="1:26" ht="12.75" customHeight="1" x14ac:dyDescent="0.25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</row>
    <row r="693" spans="1:26" ht="12.75" customHeight="1" x14ac:dyDescent="0.25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</row>
    <row r="694" spans="1:26" ht="12.75" customHeight="1" x14ac:dyDescent="0.25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</row>
    <row r="695" spans="1:26" ht="12.75" customHeight="1" x14ac:dyDescent="0.25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</row>
    <row r="696" spans="1:26" ht="12.75" customHeight="1" x14ac:dyDescent="0.25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</row>
    <row r="697" spans="1:26" ht="12.75" customHeight="1" x14ac:dyDescent="0.25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</row>
    <row r="698" spans="1:26" ht="12.75" customHeight="1" x14ac:dyDescent="0.25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</row>
    <row r="699" spans="1:26" ht="12.75" customHeight="1" x14ac:dyDescent="0.25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</row>
    <row r="700" spans="1:26" ht="12.75" customHeight="1" x14ac:dyDescent="0.25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</row>
    <row r="701" spans="1:26" ht="12.75" customHeight="1" x14ac:dyDescent="0.25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</row>
    <row r="702" spans="1:26" ht="12.75" customHeight="1" x14ac:dyDescent="0.25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</row>
    <row r="703" spans="1:26" ht="12.75" customHeight="1" x14ac:dyDescent="0.25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</row>
    <row r="704" spans="1:26" ht="12.75" customHeight="1" x14ac:dyDescent="0.25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</row>
    <row r="705" spans="1:26" ht="12.75" customHeight="1" x14ac:dyDescent="0.25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</row>
    <row r="706" spans="1:26" ht="12.75" customHeight="1" x14ac:dyDescent="0.25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</row>
    <row r="707" spans="1:26" ht="12.75" customHeight="1" x14ac:dyDescent="0.25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</row>
    <row r="708" spans="1:26" ht="12.75" customHeight="1" x14ac:dyDescent="0.25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</row>
    <row r="709" spans="1:26" ht="12.75" customHeight="1" x14ac:dyDescent="0.25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</row>
    <row r="710" spans="1:26" ht="12.75" customHeight="1" x14ac:dyDescent="0.25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</row>
    <row r="711" spans="1:26" ht="12.75" customHeight="1" x14ac:dyDescent="0.25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</row>
    <row r="712" spans="1:26" ht="12.75" customHeight="1" x14ac:dyDescent="0.25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</row>
    <row r="713" spans="1:26" ht="12.75" customHeight="1" x14ac:dyDescent="0.25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</row>
    <row r="714" spans="1:26" ht="12.75" customHeight="1" x14ac:dyDescent="0.25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</row>
    <row r="715" spans="1:26" ht="12.75" customHeight="1" x14ac:dyDescent="0.25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</row>
    <row r="716" spans="1:26" ht="12.75" customHeight="1" x14ac:dyDescent="0.25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</row>
    <row r="717" spans="1:26" ht="12.75" customHeight="1" x14ac:dyDescent="0.25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</row>
    <row r="718" spans="1:26" ht="12.75" customHeight="1" x14ac:dyDescent="0.25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</row>
    <row r="719" spans="1:26" ht="12.75" customHeight="1" x14ac:dyDescent="0.25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</row>
    <row r="720" spans="1:26" ht="12.75" customHeight="1" x14ac:dyDescent="0.25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</row>
    <row r="721" spans="1:26" ht="12.75" customHeight="1" x14ac:dyDescent="0.25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</row>
    <row r="722" spans="1:26" ht="12.75" customHeight="1" x14ac:dyDescent="0.25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</row>
    <row r="723" spans="1:26" ht="12.75" customHeight="1" x14ac:dyDescent="0.25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</row>
    <row r="724" spans="1:26" ht="12.75" customHeight="1" x14ac:dyDescent="0.25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</row>
    <row r="725" spans="1:26" ht="12.75" customHeight="1" x14ac:dyDescent="0.25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</row>
    <row r="726" spans="1:26" ht="12.75" customHeight="1" x14ac:dyDescent="0.25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</row>
    <row r="727" spans="1:26" ht="12.75" customHeight="1" x14ac:dyDescent="0.25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</row>
    <row r="728" spans="1:26" ht="12.75" customHeight="1" x14ac:dyDescent="0.25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</row>
    <row r="729" spans="1:26" ht="12.75" customHeight="1" x14ac:dyDescent="0.25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</row>
    <row r="730" spans="1:26" ht="12.75" customHeight="1" x14ac:dyDescent="0.25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</row>
    <row r="731" spans="1:26" ht="12.75" customHeight="1" x14ac:dyDescent="0.25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</row>
    <row r="732" spans="1:26" ht="12.75" customHeight="1" x14ac:dyDescent="0.25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</row>
    <row r="733" spans="1:26" ht="12.75" customHeight="1" x14ac:dyDescent="0.25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</row>
    <row r="734" spans="1:26" ht="12.75" customHeight="1" x14ac:dyDescent="0.25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</row>
    <row r="735" spans="1:26" ht="12.75" customHeight="1" x14ac:dyDescent="0.25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</row>
    <row r="736" spans="1:26" ht="12.75" customHeight="1" x14ac:dyDescent="0.25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</row>
    <row r="737" spans="1:26" ht="12.75" customHeight="1" x14ac:dyDescent="0.25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</row>
    <row r="738" spans="1:26" ht="12.75" customHeight="1" x14ac:dyDescent="0.25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</row>
    <row r="739" spans="1:26" ht="12.75" customHeight="1" x14ac:dyDescent="0.25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</row>
    <row r="740" spans="1:26" ht="12.75" customHeight="1" x14ac:dyDescent="0.25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</row>
    <row r="741" spans="1:26" ht="12.75" customHeight="1" x14ac:dyDescent="0.25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</row>
    <row r="742" spans="1:26" ht="12.75" customHeight="1" x14ac:dyDescent="0.25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</row>
    <row r="743" spans="1:26" ht="12.75" customHeight="1" x14ac:dyDescent="0.25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</row>
    <row r="744" spans="1:26" ht="12.75" customHeight="1" x14ac:dyDescent="0.25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</row>
    <row r="745" spans="1:26" ht="12.75" customHeight="1" x14ac:dyDescent="0.25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</row>
    <row r="746" spans="1:26" ht="12.75" customHeight="1" x14ac:dyDescent="0.25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</row>
    <row r="747" spans="1:26" ht="12.75" customHeight="1" x14ac:dyDescent="0.25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</row>
    <row r="748" spans="1:26" ht="12.75" customHeight="1" x14ac:dyDescent="0.25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</row>
    <row r="749" spans="1:26" ht="12.75" customHeight="1" x14ac:dyDescent="0.25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</row>
    <row r="750" spans="1:26" ht="12.75" customHeight="1" x14ac:dyDescent="0.25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</row>
    <row r="751" spans="1:26" ht="12.75" customHeight="1" x14ac:dyDescent="0.25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</row>
    <row r="752" spans="1:26" ht="12.75" customHeight="1" x14ac:dyDescent="0.25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</row>
    <row r="753" spans="1:26" ht="12.75" customHeight="1" x14ac:dyDescent="0.25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</row>
    <row r="754" spans="1:26" ht="12.75" customHeight="1" x14ac:dyDescent="0.25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</row>
    <row r="755" spans="1:26" ht="12.75" customHeight="1" x14ac:dyDescent="0.25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</row>
    <row r="756" spans="1:26" ht="12.75" customHeight="1" x14ac:dyDescent="0.25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</row>
    <row r="757" spans="1:26" ht="12.75" customHeight="1" x14ac:dyDescent="0.25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</row>
    <row r="758" spans="1:26" ht="12.75" customHeight="1" x14ac:dyDescent="0.25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</row>
    <row r="759" spans="1:26" ht="12.75" customHeight="1" x14ac:dyDescent="0.25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</row>
    <row r="760" spans="1:26" ht="12.75" customHeight="1" x14ac:dyDescent="0.25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</row>
    <row r="761" spans="1:26" ht="12.75" customHeight="1" x14ac:dyDescent="0.25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</row>
    <row r="762" spans="1:26" ht="12.75" customHeight="1" x14ac:dyDescent="0.25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</row>
    <row r="763" spans="1:26" ht="12.75" customHeight="1" x14ac:dyDescent="0.25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</row>
    <row r="764" spans="1:26" ht="12.75" customHeight="1" x14ac:dyDescent="0.25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</row>
    <row r="765" spans="1:26" ht="12.75" customHeight="1" x14ac:dyDescent="0.25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</row>
    <row r="766" spans="1:26" ht="12.75" customHeight="1" x14ac:dyDescent="0.25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</row>
    <row r="767" spans="1:26" ht="12.75" customHeight="1" x14ac:dyDescent="0.25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</row>
    <row r="768" spans="1:26" ht="12.75" customHeight="1" x14ac:dyDescent="0.25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</row>
    <row r="769" spans="1:26" ht="12.75" customHeight="1" x14ac:dyDescent="0.25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</row>
    <row r="770" spans="1:26" ht="12.75" customHeight="1" x14ac:dyDescent="0.25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</row>
    <row r="771" spans="1:26" ht="12.75" customHeight="1" x14ac:dyDescent="0.25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</row>
    <row r="772" spans="1:26" ht="12.75" customHeight="1" x14ac:dyDescent="0.25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</row>
    <row r="773" spans="1:26" ht="12.75" customHeight="1" x14ac:dyDescent="0.25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</row>
    <row r="774" spans="1:26" ht="12.75" customHeight="1" x14ac:dyDescent="0.25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</row>
    <row r="775" spans="1:26" ht="12.75" customHeight="1" x14ac:dyDescent="0.25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</row>
    <row r="776" spans="1:26" ht="12.75" customHeight="1" x14ac:dyDescent="0.25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</row>
    <row r="777" spans="1:26" ht="12.75" customHeight="1" x14ac:dyDescent="0.25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</row>
    <row r="778" spans="1:26" ht="12.75" customHeight="1" x14ac:dyDescent="0.25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</row>
    <row r="779" spans="1:26" ht="12.75" customHeight="1" x14ac:dyDescent="0.25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</row>
    <row r="780" spans="1:26" ht="12.75" customHeight="1" x14ac:dyDescent="0.25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</row>
    <row r="781" spans="1:26" ht="12.75" customHeight="1" x14ac:dyDescent="0.25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</row>
    <row r="782" spans="1:26" ht="12.75" customHeight="1" x14ac:dyDescent="0.25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</row>
    <row r="783" spans="1:26" ht="12.75" customHeight="1" x14ac:dyDescent="0.25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</row>
    <row r="784" spans="1:26" ht="12.75" customHeight="1" x14ac:dyDescent="0.25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</row>
    <row r="785" spans="1:26" ht="12.75" customHeight="1" x14ac:dyDescent="0.25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</row>
    <row r="786" spans="1:26" ht="12.75" customHeight="1" x14ac:dyDescent="0.25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</row>
    <row r="787" spans="1:26" ht="12.75" customHeight="1" x14ac:dyDescent="0.25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</row>
    <row r="788" spans="1:26" ht="12.75" customHeight="1" x14ac:dyDescent="0.25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</row>
    <row r="789" spans="1:26" ht="12.75" customHeight="1" x14ac:dyDescent="0.25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</row>
    <row r="790" spans="1:26" ht="12.75" customHeight="1" x14ac:dyDescent="0.25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  <c r="Q790" s="150"/>
      <c r="R790" s="150"/>
      <c r="S790" s="150"/>
      <c r="T790" s="150"/>
      <c r="U790" s="150"/>
      <c r="V790" s="150"/>
      <c r="W790" s="150"/>
      <c r="X790" s="150"/>
      <c r="Y790" s="150"/>
      <c r="Z790" s="150"/>
    </row>
    <row r="791" spans="1:26" ht="12.75" customHeight="1" x14ac:dyDescent="0.25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  <c r="Q791" s="150"/>
      <c r="R791" s="150"/>
      <c r="S791" s="150"/>
      <c r="T791" s="150"/>
      <c r="U791" s="150"/>
      <c r="V791" s="150"/>
      <c r="W791" s="150"/>
      <c r="X791" s="150"/>
      <c r="Y791" s="150"/>
      <c r="Z791" s="150"/>
    </row>
    <row r="792" spans="1:26" ht="12.75" customHeight="1" x14ac:dyDescent="0.25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  <c r="Q792" s="150"/>
      <c r="R792" s="150"/>
      <c r="S792" s="150"/>
      <c r="T792" s="150"/>
      <c r="U792" s="150"/>
      <c r="V792" s="150"/>
      <c r="W792" s="150"/>
      <c r="X792" s="150"/>
      <c r="Y792" s="150"/>
      <c r="Z792" s="150"/>
    </row>
    <row r="793" spans="1:26" ht="12.75" customHeight="1" x14ac:dyDescent="0.25">
      <c r="A793" s="150"/>
      <c r="B793" s="150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  <c r="M793" s="150"/>
      <c r="N793" s="150"/>
      <c r="O793" s="150"/>
      <c r="P793" s="150"/>
      <c r="Q793" s="150"/>
      <c r="R793" s="150"/>
      <c r="S793" s="150"/>
      <c r="T793" s="150"/>
      <c r="U793" s="150"/>
      <c r="V793" s="150"/>
      <c r="W793" s="150"/>
      <c r="X793" s="150"/>
      <c r="Y793" s="150"/>
      <c r="Z793" s="150"/>
    </row>
    <row r="794" spans="1:26" ht="12.75" customHeight="1" x14ac:dyDescent="0.25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  <c r="M794" s="150"/>
      <c r="N794" s="150"/>
      <c r="O794" s="150"/>
      <c r="P794" s="150"/>
      <c r="Q794" s="150"/>
      <c r="R794" s="150"/>
      <c r="S794" s="150"/>
      <c r="T794" s="150"/>
      <c r="U794" s="150"/>
      <c r="V794" s="150"/>
      <c r="W794" s="150"/>
      <c r="X794" s="150"/>
      <c r="Y794" s="150"/>
      <c r="Z794" s="150"/>
    </row>
    <row r="795" spans="1:26" ht="12.75" customHeight="1" x14ac:dyDescent="0.25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  <c r="M795" s="150"/>
      <c r="N795" s="150"/>
      <c r="O795" s="150"/>
      <c r="P795" s="150"/>
      <c r="Q795" s="150"/>
      <c r="R795" s="150"/>
      <c r="S795" s="150"/>
      <c r="T795" s="150"/>
      <c r="U795" s="150"/>
      <c r="V795" s="150"/>
      <c r="W795" s="150"/>
      <c r="X795" s="150"/>
      <c r="Y795" s="150"/>
      <c r="Z795" s="150"/>
    </row>
    <row r="796" spans="1:26" ht="12.75" customHeight="1" x14ac:dyDescent="0.25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  <c r="M796" s="150"/>
      <c r="N796" s="150"/>
      <c r="O796" s="150"/>
      <c r="P796" s="150"/>
      <c r="Q796" s="150"/>
      <c r="R796" s="150"/>
      <c r="S796" s="150"/>
      <c r="T796" s="150"/>
      <c r="U796" s="150"/>
      <c r="V796" s="150"/>
      <c r="W796" s="150"/>
      <c r="X796" s="150"/>
      <c r="Y796" s="150"/>
      <c r="Z796" s="150"/>
    </row>
    <row r="797" spans="1:26" ht="12.75" customHeight="1" x14ac:dyDescent="0.25">
      <c r="A797" s="150"/>
      <c r="B797" s="150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  <c r="M797" s="150"/>
      <c r="N797" s="150"/>
      <c r="O797" s="150"/>
      <c r="P797" s="150"/>
      <c r="Q797" s="150"/>
      <c r="R797" s="150"/>
      <c r="S797" s="150"/>
      <c r="T797" s="150"/>
      <c r="U797" s="150"/>
      <c r="V797" s="150"/>
      <c r="W797" s="150"/>
      <c r="X797" s="150"/>
      <c r="Y797" s="150"/>
      <c r="Z797" s="150"/>
    </row>
    <row r="798" spans="1:26" ht="12.75" customHeight="1" x14ac:dyDescent="0.25">
      <c r="A798" s="150"/>
      <c r="B798" s="150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</row>
    <row r="799" spans="1:26" ht="12.75" customHeight="1" x14ac:dyDescent="0.25">
      <c r="A799" s="150"/>
      <c r="B799" s="150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/>
      <c r="Z799" s="150"/>
    </row>
    <row r="800" spans="1:26" ht="12.75" customHeight="1" x14ac:dyDescent="0.25">
      <c r="A800" s="150"/>
      <c r="B800" s="150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  <c r="Q800" s="150"/>
      <c r="R800" s="150"/>
      <c r="S800" s="150"/>
      <c r="T800" s="150"/>
      <c r="U800" s="150"/>
      <c r="V800" s="150"/>
      <c r="W800" s="150"/>
      <c r="X800" s="150"/>
      <c r="Y800" s="150"/>
      <c r="Z800" s="150"/>
    </row>
    <row r="801" spans="1:26" ht="12.75" customHeight="1" x14ac:dyDescent="0.25">
      <c r="A801" s="150"/>
      <c r="B801" s="150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50"/>
      <c r="U801" s="150"/>
      <c r="V801" s="150"/>
      <c r="W801" s="150"/>
      <c r="X801" s="150"/>
      <c r="Y801" s="150"/>
      <c r="Z801" s="150"/>
    </row>
    <row r="802" spans="1:26" ht="12.75" customHeight="1" x14ac:dyDescent="0.25">
      <c r="A802" s="150"/>
      <c r="B802" s="150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50"/>
      <c r="S802" s="150"/>
      <c r="T802" s="150"/>
      <c r="U802" s="150"/>
      <c r="V802" s="150"/>
      <c r="W802" s="150"/>
      <c r="X802" s="150"/>
      <c r="Y802" s="150"/>
      <c r="Z802" s="150"/>
    </row>
    <row r="803" spans="1:26" ht="12.75" customHeight="1" x14ac:dyDescent="0.25">
      <c r="A803" s="150"/>
      <c r="B803" s="150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  <c r="Q803" s="150"/>
      <c r="R803" s="150"/>
      <c r="S803" s="150"/>
      <c r="T803" s="150"/>
      <c r="U803" s="150"/>
      <c r="V803" s="150"/>
      <c r="W803" s="150"/>
      <c r="X803" s="150"/>
      <c r="Y803" s="150"/>
      <c r="Z803" s="150"/>
    </row>
    <row r="804" spans="1:26" ht="12.75" customHeight="1" x14ac:dyDescent="0.25">
      <c r="A804" s="150"/>
      <c r="B804" s="150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</row>
    <row r="805" spans="1:26" ht="12.75" customHeight="1" x14ac:dyDescent="0.25">
      <c r="A805" s="150"/>
      <c r="B805" s="150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50"/>
      <c r="U805" s="150"/>
      <c r="V805" s="150"/>
      <c r="W805" s="150"/>
      <c r="X805" s="150"/>
      <c r="Y805" s="150"/>
      <c r="Z805" s="150"/>
    </row>
    <row r="806" spans="1:26" ht="12.75" customHeight="1" x14ac:dyDescent="0.25">
      <c r="A806" s="150"/>
      <c r="B806" s="150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  <c r="Q806" s="150"/>
      <c r="R806" s="150"/>
      <c r="S806" s="150"/>
      <c r="T806" s="150"/>
      <c r="U806" s="150"/>
      <c r="V806" s="150"/>
      <c r="W806" s="150"/>
      <c r="X806" s="150"/>
      <c r="Y806" s="150"/>
      <c r="Z806" s="150"/>
    </row>
    <row r="807" spans="1:26" ht="12.75" customHeight="1" x14ac:dyDescent="0.25">
      <c r="A807" s="150"/>
      <c r="B807" s="150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  <c r="M807" s="150"/>
      <c r="N807" s="150"/>
      <c r="O807" s="150"/>
      <c r="P807" s="150"/>
      <c r="Q807" s="150"/>
      <c r="R807" s="150"/>
      <c r="S807" s="150"/>
      <c r="T807" s="150"/>
      <c r="U807" s="150"/>
      <c r="V807" s="150"/>
      <c r="W807" s="150"/>
      <c r="X807" s="150"/>
      <c r="Y807" s="150"/>
      <c r="Z807" s="150"/>
    </row>
    <row r="808" spans="1:26" ht="12.75" customHeight="1" x14ac:dyDescent="0.25">
      <c r="A808" s="150"/>
      <c r="B808" s="150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  <c r="M808" s="150"/>
      <c r="N808" s="150"/>
      <c r="O808" s="150"/>
      <c r="P808" s="150"/>
      <c r="Q808" s="150"/>
      <c r="R808" s="150"/>
      <c r="S808" s="150"/>
      <c r="T808" s="150"/>
      <c r="U808" s="150"/>
      <c r="V808" s="150"/>
      <c r="W808" s="150"/>
      <c r="X808" s="150"/>
      <c r="Y808" s="150"/>
      <c r="Z808" s="150"/>
    </row>
    <row r="809" spans="1:26" ht="12.75" customHeight="1" x14ac:dyDescent="0.25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  <c r="M809" s="150"/>
      <c r="N809" s="150"/>
      <c r="O809" s="150"/>
      <c r="P809" s="150"/>
      <c r="Q809" s="150"/>
      <c r="R809" s="150"/>
      <c r="S809" s="150"/>
      <c r="T809" s="150"/>
      <c r="U809" s="150"/>
      <c r="V809" s="150"/>
      <c r="W809" s="150"/>
      <c r="X809" s="150"/>
      <c r="Y809" s="150"/>
      <c r="Z809" s="150"/>
    </row>
    <row r="810" spans="1:26" ht="12.75" customHeight="1" x14ac:dyDescent="0.25">
      <c r="A810" s="150"/>
      <c r="B810" s="150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</row>
    <row r="811" spans="1:26" ht="12.75" customHeight="1" x14ac:dyDescent="0.25">
      <c r="A811" s="150"/>
      <c r="B811" s="150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/>
      <c r="U811" s="150"/>
      <c r="V811" s="150"/>
      <c r="W811" s="150"/>
      <c r="X811" s="150"/>
      <c r="Y811" s="150"/>
      <c r="Z811" s="150"/>
    </row>
    <row r="812" spans="1:26" ht="12.75" customHeight="1" x14ac:dyDescent="0.25">
      <c r="A812" s="150"/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  <c r="M812" s="150"/>
      <c r="N812" s="150"/>
      <c r="O812" s="150"/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/>
    </row>
    <row r="813" spans="1:26" ht="12.75" customHeight="1" x14ac:dyDescent="0.25">
      <c r="A813" s="150"/>
      <c r="B813" s="150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  <c r="M813" s="150"/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</row>
    <row r="814" spans="1:26" ht="12.75" customHeight="1" x14ac:dyDescent="0.25">
      <c r="A814" s="150"/>
      <c r="B814" s="150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  <c r="M814" s="150"/>
      <c r="N814" s="150"/>
      <c r="O814" s="150"/>
      <c r="P814" s="150"/>
      <c r="Q814" s="150"/>
      <c r="R814" s="150"/>
      <c r="S814" s="150"/>
      <c r="T814" s="150"/>
      <c r="U814" s="150"/>
      <c r="V814" s="150"/>
      <c r="W814" s="150"/>
      <c r="X814" s="150"/>
      <c r="Y814" s="150"/>
      <c r="Z814" s="150"/>
    </row>
    <row r="815" spans="1:26" ht="12.75" customHeight="1" x14ac:dyDescent="0.25">
      <c r="A815" s="150"/>
      <c r="B815" s="150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50"/>
      <c r="Y815" s="150"/>
      <c r="Z815" s="150"/>
    </row>
    <row r="816" spans="1:26" ht="12.75" customHeight="1" x14ac:dyDescent="0.25">
      <c r="A816" s="150"/>
      <c r="B816" s="150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  <c r="M816" s="150"/>
      <c r="N816" s="150"/>
      <c r="O816" s="150"/>
      <c r="P816" s="150"/>
      <c r="Q816" s="150"/>
      <c r="R816" s="150"/>
      <c r="S816" s="150"/>
      <c r="T816" s="150"/>
      <c r="U816" s="150"/>
      <c r="V816" s="150"/>
      <c r="W816" s="150"/>
      <c r="X816" s="150"/>
      <c r="Y816" s="150"/>
      <c r="Z816" s="150"/>
    </row>
    <row r="817" spans="1:26" ht="12.75" customHeight="1" x14ac:dyDescent="0.25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  <c r="M817" s="150"/>
      <c r="N817" s="150"/>
      <c r="O817" s="150"/>
      <c r="P817" s="150"/>
      <c r="Q817" s="150"/>
      <c r="R817" s="150"/>
      <c r="S817" s="150"/>
      <c r="T817" s="150"/>
      <c r="U817" s="150"/>
      <c r="V817" s="150"/>
      <c r="W817" s="150"/>
      <c r="X817" s="150"/>
      <c r="Y817" s="150"/>
      <c r="Z817" s="150"/>
    </row>
    <row r="818" spans="1:26" ht="12.75" customHeight="1" x14ac:dyDescent="0.25">
      <c r="A818" s="150"/>
      <c r="B818" s="150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  <c r="M818" s="150"/>
      <c r="N818" s="150"/>
      <c r="O818" s="150"/>
      <c r="P818" s="150"/>
      <c r="Q818" s="150"/>
      <c r="R818" s="150"/>
      <c r="S818" s="150"/>
      <c r="T818" s="150"/>
      <c r="U818" s="150"/>
      <c r="V818" s="150"/>
      <c r="W818" s="150"/>
      <c r="X818" s="150"/>
      <c r="Y818" s="150"/>
      <c r="Z818" s="150"/>
    </row>
    <row r="819" spans="1:26" ht="12.75" customHeight="1" x14ac:dyDescent="0.25">
      <c r="A819" s="150"/>
      <c r="B819" s="150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  <c r="M819" s="150"/>
      <c r="N819" s="150"/>
      <c r="O819" s="150"/>
      <c r="P819" s="150"/>
      <c r="Q819" s="150"/>
      <c r="R819" s="150"/>
      <c r="S819" s="150"/>
      <c r="T819" s="150"/>
      <c r="U819" s="150"/>
      <c r="V819" s="150"/>
      <c r="W819" s="150"/>
      <c r="X819" s="150"/>
      <c r="Y819" s="150"/>
      <c r="Z819" s="150"/>
    </row>
    <row r="820" spans="1:26" ht="12.75" customHeight="1" x14ac:dyDescent="0.25">
      <c r="A820" s="150"/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  <c r="M820" s="150"/>
      <c r="N820" s="150"/>
      <c r="O820" s="150"/>
      <c r="P820" s="150"/>
      <c r="Q820" s="150"/>
      <c r="R820" s="150"/>
      <c r="S820" s="150"/>
      <c r="T820" s="150"/>
      <c r="U820" s="150"/>
      <c r="V820" s="150"/>
      <c r="W820" s="150"/>
      <c r="X820" s="150"/>
      <c r="Y820" s="150"/>
      <c r="Z820" s="150"/>
    </row>
    <row r="821" spans="1:26" ht="12.75" customHeight="1" x14ac:dyDescent="0.25">
      <c r="A821" s="150"/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  <c r="M821" s="150"/>
      <c r="N821" s="150"/>
      <c r="O821" s="150"/>
      <c r="P821" s="150"/>
      <c r="Q821" s="150"/>
      <c r="R821" s="150"/>
      <c r="S821" s="150"/>
      <c r="T821" s="150"/>
      <c r="U821" s="150"/>
      <c r="V821" s="150"/>
      <c r="W821" s="150"/>
      <c r="X821" s="150"/>
      <c r="Y821" s="150"/>
      <c r="Z821" s="150"/>
    </row>
    <row r="822" spans="1:26" ht="12.75" customHeight="1" x14ac:dyDescent="0.25">
      <c r="A822" s="150"/>
      <c r="B822" s="150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  <c r="M822" s="150"/>
      <c r="N822" s="150"/>
      <c r="O822" s="150"/>
      <c r="P822" s="150"/>
      <c r="Q822" s="150"/>
      <c r="R822" s="150"/>
      <c r="S822" s="150"/>
      <c r="T822" s="150"/>
      <c r="U822" s="150"/>
      <c r="V822" s="150"/>
      <c r="W822" s="150"/>
      <c r="X822" s="150"/>
      <c r="Y822" s="150"/>
      <c r="Z822" s="150"/>
    </row>
    <row r="823" spans="1:26" ht="12.75" customHeight="1" x14ac:dyDescent="0.25">
      <c r="A823" s="150"/>
      <c r="B823" s="150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  <c r="M823" s="150"/>
      <c r="N823" s="150"/>
      <c r="O823" s="150"/>
      <c r="P823" s="150"/>
      <c r="Q823" s="150"/>
      <c r="R823" s="150"/>
      <c r="S823" s="150"/>
      <c r="T823" s="150"/>
      <c r="U823" s="150"/>
      <c r="V823" s="150"/>
      <c r="W823" s="150"/>
      <c r="X823" s="150"/>
      <c r="Y823" s="150"/>
      <c r="Z823" s="150"/>
    </row>
    <row r="824" spans="1:26" ht="12.75" customHeight="1" x14ac:dyDescent="0.25">
      <c r="A824" s="15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  <c r="M824" s="150"/>
      <c r="N824" s="150"/>
      <c r="O824" s="150"/>
      <c r="P824" s="150"/>
      <c r="Q824" s="150"/>
      <c r="R824" s="150"/>
      <c r="S824" s="150"/>
      <c r="T824" s="150"/>
      <c r="U824" s="150"/>
      <c r="V824" s="150"/>
      <c r="W824" s="150"/>
      <c r="X824" s="150"/>
      <c r="Y824" s="150"/>
      <c r="Z824" s="150"/>
    </row>
    <row r="825" spans="1:26" ht="12.75" customHeight="1" x14ac:dyDescent="0.25">
      <c r="A825" s="150"/>
      <c r="B825" s="150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  <c r="M825" s="150"/>
      <c r="N825" s="150"/>
      <c r="O825" s="150"/>
      <c r="P825" s="150"/>
      <c r="Q825" s="150"/>
      <c r="R825" s="150"/>
      <c r="S825" s="150"/>
      <c r="T825" s="150"/>
      <c r="U825" s="150"/>
      <c r="V825" s="150"/>
      <c r="W825" s="150"/>
      <c r="X825" s="150"/>
      <c r="Y825" s="150"/>
      <c r="Z825" s="150"/>
    </row>
    <row r="826" spans="1:26" ht="12.75" customHeight="1" x14ac:dyDescent="0.25">
      <c r="A826" s="150"/>
      <c r="B826" s="150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  <c r="M826" s="150"/>
      <c r="N826" s="150"/>
      <c r="O826" s="150"/>
      <c r="P826" s="150"/>
      <c r="Q826" s="150"/>
      <c r="R826" s="150"/>
      <c r="S826" s="150"/>
      <c r="T826" s="150"/>
      <c r="U826" s="150"/>
      <c r="V826" s="150"/>
      <c r="W826" s="150"/>
      <c r="X826" s="150"/>
      <c r="Y826" s="150"/>
      <c r="Z826" s="150"/>
    </row>
    <row r="827" spans="1:26" ht="12.75" customHeight="1" x14ac:dyDescent="0.25">
      <c r="A827" s="150"/>
      <c r="B827" s="150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  <c r="M827" s="150"/>
      <c r="N827" s="150"/>
      <c r="O827" s="150"/>
      <c r="P827" s="150"/>
      <c r="Q827" s="150"/>
      <c r="R827" s="150"/>
      <c r="S827" s="150"/>
      <c r="T827" s="150"/>
      <c r="U827" s="150"/>
      <c r="V827" s="150"/>
      <c r="W827" s="150"/>
      <c r="X827" s="150"/>
      <c r="Y827" s="150"/>
      <c r="Z827" s="150"/>
    </row>
    <row r="828" spans="1:26" ht="12.75" customHeight="1" x14ac:dyDescent="0.25">
      <c r="A828" s="150"/>
      <c r="B828" s="150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  <c r="M828" s="150"/>
      <c r="N828" s="150"/>
      <c r="O828" s="150"/>
      <c r="P828" s="150"/>
      <c r="Q828" s="150"/>
      <c r="R828" s="150"/>
      <c r="S828" s="150"/>
      <c r="T828" s="150"/>
      <c r="U828" s="150"/>
      <c r="V828" s="150"/>
      <c r="W828" s="150"/>
      <c r="X828" s="150"/>
      <c r="Y828" s="150"/>
      <c r="Z828" s="150"/>
    </row>
    <row r="829" spans="1:26" ht="12.75" customHeight="1" x14ac:dyDescent="0.25">
      <c r="A829" s="150"/>
      <c r="B829" s="150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  <c r="M829" s="150"/>
      <c r="N829" s="150"/>
      <c r="O829" s="150"/>
      <c r="P829" s="150"/>
      <c r="Q829" s="150"/>
      <c r="R829" s="150"/>
      <c r="S829" s="150"/>
      <c r="T829" s="150"/>
      <c r="U829" s="150"/>
      <c r="V829" s="150"/>
      <c r="W829" s="150"/>
      <c r="X829" s="150"/>
      <c r="Y829" s="150"/>
      <c r="Z829" s="150"/>
    </row>
    <row r="830" spans="1:26" ht="12.75" customHeight="1" x14ac:dyDescent="0.25">
      <c r="A830" s="150"/>
      <c r="B830" s="150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  <c r="M830" s="150"/>
      <c r="N830" s="150"/>
      <c r="O830" s="150"/>
      <c r="P830" s="150"/>
      <c r="Q830" s="150"/>
      <c r="R830" s="150"/>
      <c r="S830" s="150"/>
      <c r="T830" s="150"/>
      <c r="U830" s="150"/>
      <c r="V830" s="150"/>
      <c r="W830" s="150"/>
      <c r="X830" s="150"/>
      <c r="Y830" s="150"/>
      <c r="Z830" s="150"/>
    </row>
    <row r="831" spans="1:26" ht="12.75" customHeight="1" x14ac:dyDescent="0.25">
      <c r="A831" s="150"/>
      <c r="B831" s="150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  <c r="M831" s="150"/>
      <c r="N831" s="150"/>
      <c r="O831" s="150"/>
      <c r="P831" s="150"/>
      <c r="Q831" s="150"/>
      <c r="R831" s="150"/>
      <c r="S831" s="150"/>
      <c r="T831" s="150"/>
      <c r="U831" s="150"/>
      <c r="V831" s="150"/>
      <c r="W831" s="150"/>
      <c r="X831" s="150"/>
      <c r="Y831" s="150"/>
      <c r="Z831" s="150"/>
    </row>
    <row r="832" spans="1:26" ht="12.75" customHeight="1" x14ac:dyDescent="0.25">
      <c r="A832" s="15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  <c r="M832" s="150"/>
      <c r="N832" s="150"/>
      <c r="O832" s="150"/>
      <c r="P832" s="150"/>
      <c r="Q832" s="150"/>
      <c r="R832" s="150"/>
      <c r="S832" s="150"/>
      <c r="T832" s="150"/>
      <c r="U832" s="150"/>
      <c r="V832" s="150"/>
      <c r="W832" s="150"/>
      <c r="X832" s="150"/>
      <c r="Y832" s="150"/>
      <c r="Z832" s="150"/>
    </row>
    <row r="833" spans="1:26" ht="12.75" customHeight="1" x14ac:dyDescent="0.25">
      <c r="A833" s="150"/>
      <c r="B833" s="150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  <c r="M833" s="150"/>
      <c r="N833" s="150"/>
      <c r="O833" s="150"/>
      <c r="P833" s="150"/>
      <c r="Q833" s="150"/>
      <c r="R833" s="150"/>
      <c r="S833" s="150"/>
      <c r="T833" s="150"/>
      <c r="U833" s="150"/>
      <c r="V833" s="150"/>
      <c r="W833" s="150"/>
      <c r="X833" s="150"/>
      <c r="Y833" s="150"/>
      <c r="Z833" s="150"/>
    </row>
    <row r="834" spans="1:26" ht="12.75" customHeight="1" x14ac:dyDescent="0.25">
      <c r="A834" s="150"/>
      <c r="B834" s="150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  <c r="M834" s="150"/>
      <c r="N834" s="150"/>
      <c r="O834" s="150"/>
      <c r="P834" s="150"/>
      <c r="Q834" s="150"/>
      <c r="R834" s="150"/>
      <c r="S834" s="150"/>
      <c r="T834" s="150"/>
      <c r="U834" s="150"/>
      <c r="V834" s="150"/>
      <c r="W834" s="150"/>
      <c r="X834" s="150"/>
      <c r="Y834" s="150"/>
      <c r="Z834" s="150"/>
    </row>
    <row r="835" spans="1:26" ht="12.75" customHeight="1" x14ac:dyDescent="0.25">
      <c r="A835" s="150"/>
      <c r="B835" s="150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  <c r="M835" s="150"/>
      <c r="N835" s="150"/>
      <c r="O835" s="150"/>
      <c r="P835" s="150"/>
      <c r="Q835" s="150"/>
      <c r="R835" s="150"/>
      <c r="S835" s="150"/>
      <c r="T835" s="150"/>
      <c r="U835" s="150"/>
      <c r="V835" s="150"/>
      <c r="W835" s="150"/>
      <c r="X835" s="150"/>
      <c r="Y835" s="150"/>
      <c r="Z835" s="150"/>
    </row>
    <row r="836" spans="1:26" ht="12.75" customHeight="1" x14ac:dyDescent="0.25">
      <c r="A836" s="150"/>
      <c r="B836" s="150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  <c r="M836" s="150"/>
      <c r="N836" s="150"/>
      <c r="O836" s="150"/>
      <c r="P836" s="150"/>
      <c r="Q836" s="150"/>
      <c r="R836" s="150"/>
      <c r="S836" s="150"/>
      <c r="T836" s="150"/>
      <c r="U836" s="150"/>
      <c r="V836" s="150"/>
      <c r="W836" s="150"/>
      <c r="X836" s="150"/>
      <c r="Y836" s="150"/>
      <c r="Z836" s="150"/>
    </row>
    <row r="837" spans="1:26" ht="12.75" customHeight="1" x14ac:dyDescent="0.25">
      <c r="A837" s="150"/>
      <c r="B837" s="150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  <c r="M837" s="150"/>
      <c r="N837" s="150"/>
      <c r="O837" s="150"/>
      <c r="P837" s="150"/>
      <c r="Q837" s="150"/>
      <c r="R837" s="150"/>
      <c r="S837" s="150"/>
      <c r="T837" s="150"/>
      <c r="U837" s="150"/>
      <c r="V837" s="150"/>
      <c r="W837" s="150"/>
      <c r="X837" s="150"/>
      <c r="Y837" s="150"/>
      <c r="Z837" s="150"/>
    </row>
    <row r="838" spans="1:26" ht="12.75" customHeight="1" x14ac:dyDescent="0.25">
      <c r="A838" s="15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  <c r="M838" s="150"/>
      <c r="N838" s="150"/>
      <c r="O838" s="150"/>
      <c r="P838" s="150"/>
      <c r="Q838" s="150"/>
      <c r="R838" s="150"/>
      <c r="S838" s="150"/>
      <c r="T838" s="150"/>
      <c r="U838" s="150"/>
      <c r="V838" s="150"/>
      <c r="W838" s="150"/>
      <c r="X838" s="150"/>
      <c r="Y838" s="150"/>
      <c r="Z838" s="150"/>
    </row>
    <row r="839" spans="1:26" ht="12.75" customHeight="1" x14ac:dyDescent="0.25">
      <c r="A839" s="150"/>
      <c r="B839" s="150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  <c r="M839" s="150"/>
      <c r="N839" s="150"/>
      <c r="O839" s="150"/>
      <c r="P839" s="150"/>
      <c r="Q839" s="150"/>
      <c r="R839" s="150"/>
      <c r="S839" s="150"/>
      <c r="T839" s="150"/>
      <c r="U839" s="150"/>
      <c r="V839" s="150"/>
      <c r="W839" s="150"/>
      <c r="X839" s="150"/>
      <c r="Y839" s="150"/>
      <c r="Z839" s="150"/>
    </row>
    <row r="840" spans="1:26" ht="12.75" customHeight="1" x14ac:dyDescent="0.25">
      <c r="A840" s="150"/>
      <c r="B840" s="150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  <c r="M840" s="150"/>
      <c r="N840" s="150"/>
      <c r="O840" s="150"/>
      <c r="P840" s="150"/>
      <c r="Q840" s="150"/>
      <c r="R840" s="150"/>
      <c r="S840" s="150"/>
      <c r="T840" s="150"/>
      <c r="U840" s="150"/>
      <c r="V840" s="150"/>
      <c r="W840" s="150"/>
      <c r="X840" s="150"/>
      <c r="Y840" s="150"/>
      <c r="Z840" s="150"/>
    </row>
    <row r="841" spans="1:26" ht="12.75" customHeight="1" x14ac:dyDescent="0.25">
      <c r="A841" s="150"/>
      <c r="B841" s="150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  <c r="M841" s="150"/>
      <c r="N841" s="150"/>
      <c r="O841" s="150"/>
      <c r="P841" s="150"/>
      <c r="Q841" s="150"/>
      <c r="R841" s="150"/>
      <c r="S841" s="150"/>
      <c r="T841" s="150"/>
      <c r="U841" s="150"/>
      <c r="V841" s="150"/>
      <c r="W841" s="150"/>
      <c r="X841" s="150"/>
      <c r="Y841" s="150"/>
      <c r="Z841" s="150"/>
    </row>
    <row r="842" spans="1:26" ht="12.75" customHeight="1" x14ac:dyDescent="0.25">
      <c r="A842" s="150"/>
      <c r="B842" s="150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  <c r="M842" s="150"/>
      <c r="N842" s="150"/>
      <c r="O842" s="150"/>
      <c r="P842" s="150"/>
      <c r="Q842" s="150"/>
      <c r="R842" s="150"/>
      <c r="S842" s="150"/>
      <c r="T842" s="150"/>
      <c r="U842" s="150"/>
      <c r="V842" s="150"/>
      <c r="W842" s="150"/>
      <c r="X842" s="150"/>
      <c r="Y842" s="150"/>
      <c r="Z842" s="150"/>
    </row>
    <row r="843" spans="1:26" ht="12.75" customHeight="1" x14ac:dyDescent="0.25">
      <c r="A843" s="150"/>
      <c r="B843" s="150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  <c r="M843" s="150"/>
      <c r="N843" s="150"/>
      <c r="O843" s="150"/>
      <c r="P843" s="150"/>
      <c r="Q843" s="150"/>
      <c r="R843" s="150"/>
      <c r="S843" s="150"/>
      <c r="T843" s="150"/>
      <c r="U843" s="150"/>
      <c r="V843" s="150"/>
      <c r="W843" s="150"/>
      <c r="X843" s="150"/>
      <c r="Y843" s="150"/>
      <c r="Z843" s="150"/>
    </row>
    <row r="844" spans="1:26" ht="12.75" customHeight="1" x14ac:dyDescent="0.25">
      <c r="A844" s="150"/>
      <c r="B844" s="150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  <c r="M844" s="150"/>
      <c r="N844" s="150"/>
      <c r="O844" s="150"/>
      <c r="P844" s="150"/>
      <c r="Q844" s="150"/>
      <c r="R844" s="150"/>
      <c r="S844" s="150"/>
      <c r="T844" s="150"/>
      <c r="U844" s="150"/>
      <c r="V844" s="150"/>
      <c r="W844" s="150"/>
      <c r="X844" s="150"/>
      <c r="Y844" s="150"/>
      <c r="Z844" s="150"/>
    </row>
    <row r="845" spans="1:26" ht="12.75" customHeight="1" x14ac:dyDescent="0.25">
      <c r="A845" s="150"/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  <c r="M845" s="150"/>
      <c r="N845" s="150"/>
      <c r="O845" s="150"/>
      <c r="P845" s="150"/>
      <c r="Q845" s="150"/>
      <c r="R845" s="150"/>
      <c r="S845" s="150"/>
      <c r="T845" s="150"/>
      <c r="U845" s="150"/>
      <c r="V845" s="150"/>
      <c r="W845" s="150"/>
      <c r="X845" s="150"/>
      <c r="Y845" s="150"/>
      <c r="Z845" s="150"/>
    </row>
    <row r="846" spans="1:26" ht="12.75" customHeight="1" x14ac:dyDescent="0.25">
      <c r="A846" s="150"/>
      <c r="B846" s="150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  <c r="M846" s="150"/>
      <c r="N846" s="150"/>
      <c r="O846" s="150"/>
      <c r="P846" s="150"/>
      <c r="Q846" s="150"/>
      <c r="R846" s="150"/>
      <c r="S846" s="150"/>
      <c r="T846" s="150"/>
      <c r="U846" s="150"/>
      <c r="V846" s="150"/>
      <c r="W846" s="150"/>
      <c r="X846" s="150"/>
      <c r="Y846" s="150"/>
      <c r="Z846" s="150"/>
    </row>
    <row r="847" spans="1:26" ht="12.75" customHeight="1" x14ac:dyDescent="0.25">
      <c r="A847" s="150"/>
      <c r="B847" s="150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  <c r="M847" s="150"/>
      <c r="N847" s="150"/>
      <c r="O847" s="150"/>
      <c r="P847" s="150"/>
      <c r="Q847" s="150"/>
      <c r="R847" s="150"/>
      <c r="S847" s="150"/>
      <c r="T847" s="150"/>
      <c r="U847" s="150"/>
      <c r="V847" s="150"/>
      <c r="W847" s="150"/>
      <c r="X847" s="150"/>
      <c r="Y847" s="150"/>
      <c r="Z847" s="150"/>
    </row>
    <row r="848" spans="1:26" ht="12.75" customHeight="1" x14ac:dyDescent="0.25">
      <c r="A848" s="150"/>
      <c r="B848" s="150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  <c r="M848" s="150"/>
      <c r="N848" s="150"/>
      <c r="O848" s="150"/>
      <c r="P848" s="150"/>
      <c r="Q848" s="150"/>
      <c r="R848" s="150"/>
      <c r="S848" s="150"/>
      <c r="T848" s="150"/>
      <c r="U848" s="150"/>
      <c r="V848" s="150"/>
      <c r="W848" s="150"/>
      <c r="X848" s="150"/>
      <c r="Y848" s="150"/>
      <c r="Z848" s="150"/>
    </row>
    <row r="849" spans="1:26" ht="12.75" customHeight="1" x14ac:dyDescent="0.25">
      <c r="A849" s="150"/>
      <c r="B849" s="150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  <c r="M849" s="150"/>
      <c r="N849" s="150"/>
      <c r="O849" s="150"/>
      <c r="P849" s="150"/>
      <c r="Q849" s="150"/>
      <c r="R849" s="150"/>
      <c r="S849" s="150"/>
      <c r="T849" s="150"/>
      <c r="U849" s="150"/>
      <c r="V849" s="150"/>
      <c r="W849" s="150"/>
      <c r="X849" s="150"/>
      <c r="Y849" s="150"/>
      <c r="Z849" s="150"/>
    </row>
    <row r="850" spans="1:26" ht="12.75" customHeight="1" x14ac:dyDescent="0.25">
      <c r="A850" s="150"/>
      <c r="B850" s="150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  <c r="M850" s="150"/>
      <c r="N850" s="150"/>
      <c r="O850" s="150"/>
      <c r="P850" s="150"/>
      <c r="Q850" s="150"/>
      <c r="R850" s="150"/>
      <c r="S850" s="150"/>
      <c r="T850" s="150"/>
      <c r="U850" s="150"/>
      <c r="V850" s="150"/>
      <c r="W850" s="150"/>
      <c r="X850" s="150"/>
      <c r="Y850" s="150"/>
      <c r="Z850" s="150"/>
    </row>
    <row r="851" spans="1:26" ht="12.75" customHeight="1" x14ac:dyDescent="0.25">
      <c r="A851" s="150"/>
      <c r="B851" s="150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  <c r="M851" s="150"/>
      <c r="N851" s="150"/>
      <c r="O851" s="150"/>
      <c r="P851" s="150"/>
      <c r="Q851" s="150"/>
      <c r="R851" s="150"/>
      <c r="S851" s="150"/>
      <c r="T851" s="150"/>
      <c r="U851" s="150"/>
      <c r="V851" s="150"/>
      <c r="W851" s="150"/>
      <c r="X851" s="150"/>
      <c r="Y851" s="150"/>
      <c r="Z851" s="150"/>
    </row>
    <row r="852" spans="1:26" ht="12.75" customHeight="1" x14ac:dyDescent="0.25">
      <c r="A852" s="150"/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50"/>
      <c r="R852" s="150"/>
      <c r="S852" s="150"/>
      <c r="T852" s="150"/>
      <c r="U852" s="150"/>
      <c r="V852" s="150"/>
      <c r="W852" s="150"/>
      <c r="X852" s="150"/>
      <c r="Y852" s="150"/>
      <c r="Z852" s="150"/>
    </row>
    <row r="853" spans="1:26" ht="12.75" customHeight="1" x14ac:dyDescent="0.25">
      <c r="A853" s="150"/>
      <c r="B853" s="150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</row>
    <row r="854" spans="1:26" ht="12.75" customHeight="1" x14ac:dyDescent="0.25">
      <c r="A854" s="150"/>
      <c r="B854" s="150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  <c r="Q854" s="150"/>
      <c r="R854" s="150"/>
      <c r="S854" s="150"/>
      <c r="T854" s="150"/>
      <c r="U854" s="150"/>
      <c r="V854" s="150"/>
      <c r="W854" s="150"/>
      <c r="X854" s="150"/>
      <c r="Y854" s="150"/>
      <c r="Z854" s="150"/>
    </row>
    <row r="855" spans="1:26" ht="12.75" customHeight="1" x14ac:dyDescent="0.25">
      <c r="A855" s="150"/>
      <c r="B855" s="150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  <c r="Q855" s="150"/>
      <c r="R855" s="150"/>
      <c r="S855" s="150"/>
      <c r="T855" s="150"/>
      <c r="U855" s="150"/>
      <c r="V855" s="150"/>
      <c r="W855" s="150"/>
      <c r="X855" s="150"/>
      <c r="Y855" s="150"/>
      <c r="Z855" s="150"/>
    </row>
    <row r="856" spans="1:26" ht="12.75" customHeight="1" x14ac:dyDescent="0.25">
      <c r="A856" s="150"/>
      <c r="B856" s="150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50"/>
      <c r="Y856" s="150"/>
      <c r="Z856" s="150"/>
    </row>
    <row r="857" spans="1:26" ht="12.75" customHeight="1" x14ac:dyDescent="0.25">
      <c r="A857" s="150"/>
      <c r="B857" s="150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</row>
    <row r="858" spans="1:26" ht="12.75" customHeight="1" x14ac:dyDescent="0.25">
      <c r="A858" s="150"/>
      <c r="B858" s="150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</row>
    <row r="859" spans="1:26" ht="12.75" customHeight="1" x14ac:dyDescent="0.25">
      <c r="A859" s="150"/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</row>
    <row r="860" spans="1:26" ht="12.75" customHeight="1" x14ac:dyDescent="0.25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</row>
    <row r="861" spans="1:26" ht="12.75" customHeight="1" x14ac:dyDescent="0.25">
      <c r="A861" s="150"/>
      <c r="B861" s="150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  <c r="M861" s="150"/>
      <c r="N861" s="150"/>
      <c r="O861" s="150"/>
      <c r="P861" s="150"/>
      <c r="Q861" s="150"/>
      <c r="R861" s="150"/>
      <c r="S861" s="150"/>
      <c r="T861" s="150"/>
      <c r="U861" s="150"/>
      <c r="V861" s="150"/>
      <c r="W861" s="150"/>
      <c r="X861" s="150"/>
      <c r="Y861" s="150"/>
      <c r="Z861" s="150"/>
    </row>
    <row r="862" spans="1:26" ht="12.75" customHeight="1" x14ac:dyDescent="0.25">
      <c r="A862" s="150"/>
      <c r="B862" s="150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  <c r="M862" s="150"/>
      <c r="N862" s="150"/>
      <c r="O862" s="150"/>
      <c r="P862" s="150"/>
      <c r="Q862" s="150"/>
      <c r="R862" s="150"/>
      <c r="S862" s="150"/>
      <c r="T862" s="150"/>
      <c r="U862" s="150"/>
      <c r="V862" s="150"/>
      <c r="W862" s="150"/>
      <c r="X862" s="150"/>
      <c r="Y862" s="150"/>
      <c r="Z862" s="150"/>
    </row>
    <row r="863" spans="1:26" ht="12.75" customHeight="1" x14ac:dyDescent="0.25">
      <c r="A863" s="150"/>
      <c r="B863" s="150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  <c r="M863" s="150"/>
      <c r="N863" s="150"/>
      <c r="O863" s="150"/>
      <c r="P863" s="150"/>
      <c r="Q863" s="150"/>
      <c r="R863" s="150"/>
      <c r="S863" s="150"/>
      <c r="T863" s="150"/>
      <c r="U863" s="150"/>
      <c r="V863" s="150"/>
      <c r="W863" s="150"/>
      <c r="X863" s="150"/>
      <c r="Y863" s="150"/>
      <c r="Z863" s="150"/>
    </row>
    <row r="864" spans="1:26" ht="12.75" customHeight="1" x14ac:dyDescent="0.25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  <c r="M864" s="150"/>
      <c r="N864" s="150"/>
      <c r="O864" s="150"/>
      <c r="P864" s="150"/>
      <c r="Q864" s="150"/>
      <c r="R864" s="150"/>
      <c r="S864" s="150"/>
      <c r="T864" s="150"/>
      <c r="U864" s="150"/>
      <c r="V864" s="150"/>
      <c r="W864" s="150"/>
      <c r="X864" s="150"/>
      <c r="Y864" s="150"/>
      <c r="Z864" s="150"/>
    </row>
    <row r="865" spans="1:26" ht="12.75" customHeight="1" x14ac:dyDescent="0.25">
      <c r="A865" s="150"/>
      <c r="B865" s="150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  <c r="M865" s="150"/>
      <c r="N865" s="150"/>
      <c r="O865" s="150"/>
      <c r="P865" s="150"/>
      <c r="Q865" s="150"/>
      <c r="R865" s="150"/>
      <c r="S865" s="150"/>
      <c r="T865" s="150"/>
      <c r="U865" s="150"/>
      <c r="V865" s="150"/>
      <c r="W865" s="150"/>
      <c r="X865" s="150"/>
      <c r="Y865" s="150"/>
      <c r="Z865" s="150"/>
    </row>
    <row r="866" spans="1:26" ht="12.75" customHeight="1" x14ac:dyDescent="0.25">
      <c r="A866" s="150"/>
      <c r="B866" s="150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  <c r="M866" s="150"/>
      <c r="N866" s="150"/>
      <c r="O866" s="150"/>
      <c r="P866" s="150"/>
      <c r="Q866" s="150"/>
      <c r="R866" s="150"/>
      <c r="S866" s="150"/>
      <c r="T866" s="150"/>
      <c r="U866" s="150"/>
      <c r="V866" s="150"/>
      <c r="W866" s="150"/>
      <c r="X866" s="150"/>
      <c r="Y866" s="150"/>
      <c r="Z866" s="150"/>
    </row>
    <row r="867" spans="1:26" ht="12.75" customHeight="1" x14ac:dyDescent="0.25">
      <c r="A867" s="150"/>
      <c r="B867" s="150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  <c r="M867" s="150"/>
      <c r="N867" s="150"/>
      <c r="O867" s="150"/>
      <c r="P867" s="150"/>
      <c r="Q867" s="150"/>
      <c r="R867" s="150"/>
      <c r="S867" s="150"/>
      <c r="T867" s="150"/>
      <c r="U867" s="150"/>
      <c r="V867" s="150"/>
      <c r="W867" s="150"/>
      <c r="X867" s="150"/>
      <c r="Y867" s="150"/>
      <c r="Z867" s="150"/>
    </row>
    <row r="868" spans="1:26" ht="12.75" customHeight="1" x14ac:dyDescent="0.25">
      <c r="A868" s="150"/>
      <c r="B868" s="150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  <c r="M868" s="150"/>
      <c r="N868" s="150"/>
      <c r="O868" s="150"/>
      <c r="P868" s="150"/>
      <c r="Q868" s="150"/>
      <c r="R868" s="150"/>
      <c r="S868" s="150"/>
      <c r="T868" s="150"/>
      <c r="U868" s="150"/>
      <c r="V868" s="150"/>
      <c r="W868" s="150"/>
      <c r="X868" s="150"/>
      <c r="Y868" s="150"/>
      <c r="Z868" s="150"/>
    </row>
    <row r="869" spans="1:26" ht="12.75" customHeight="1" x14ac:dyDescent="0.25">
      <c r="A869" s="150"/>
      <c r="B869" s="150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  <c r="M869" s="150"/>
      <c r="N869" s="150"/>
      <c r="O869" s="150"/>
      <c r="P869" s="150"/>
      <c r="Q869" s="150"/>
      <c r="R869" s="150"/>
      <c r="S869" s="150"/>
      <c r="T869" s="150"/>
      <c r="U869" s="150"/>
      <c r="V869" s="150"/>
      <c r="W869" s="150"/>
      <c r="X869" s="150"/>
      <c r="Y869" s="150"/>
      <c r="Z869" s="150"/>
    </row>
    <row r="870" spans="1:26" ht="12.75" customHeight="1" x14ac:dyDescent="0.25">
      <c r="A870" s="150"/>
      <c r="B870" s="150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</row>
    <row r="871" spans="1:26" ht="12.75" customHeight="1" x14ac:dyDescent="0.25">
      <c r="A871" s="150"/>
      <c r="B871" s="150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</row>
    <row r="872" spans="1:26" ht="12.75" customHeight="1" x14ac:dyDescent="0.25">
      <c r="A872" s="150"/>
      <c r="B872" s="150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</row>
    <row r="873" spans="1:26" ht="12.75" customHeight="1" x14ac:dyDescent="0.25">
      <c r="A873" s="150"/>
      <c r="B873" s="150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</row>
    <row r="874" spans="1:26" ht="12.75" customHeight="1" x14ac:dyDescent="0.25">
      <c r="A874" s="150"/>
      <c r="B874" s="150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</row>
    <row r="875" spans="1:26" ht="12.75" customHeight="1" x14ac:dyDescent="0.25">
      <c r="A875" s="150"/>
      <c r="B875" s="150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</row>
    <row r="876" spans="1:26" ht="12.75" customHeight="1" x14ac:dyDescent="0.25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</row>
    <row r="877" spans="1:26" ht="12.75" customHeight="1" x14ac:dyDescent="0.25">
      <c r="A877" s="150"/>
      <c r="B877" s="150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</row>
    <row r="878" spans="1:26" ht="12.75" customHeight="1" x14ac:dyDescent="0.25">
      <c r="A878" s="150"/>
      <c r="B878" s="150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</row>
    <row r="879" spans="1:26" ht="12.75" customHeight="1" x14ac:dyDescent="0.25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  <c r="M879" s="150"/>
      <c r="N879" s="150"/>
      <c r="O879" s="150"/>
      <c r="P879" s="150"/>
      <c r="Q879" s="150"/>
      <c r="R879" s="150"/>
      <c r="S879" s="150"/>
      <c r="T879" s="150"/>
      <c r="U879" s="150"/>
      <c r="V879" s="150"/>
      <c r="W879" s="150"/>
      <c r="X879" s="150"/>
      <c r="Y879" s="150"/>
      <c r="Z879" s="150"/>
    </row>
    <row r="880" spans="1:26" ht="12.75" customHeight="1" x14ac:dyDescent="0.25">
      <c r="A880" s="150"/>
      <c r="B880" s="150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  <c r="M880" s="150"/>
      <c r="N880" s="150"/>
      <c r="O880" s="150"/>
      <c r="P880" s="150"/>
      <c r="Q880" s="150"/>
      <c r="R880" s="150"/>
      <c r="S880" s="150"/>
      <c r="T880" s="150"/>
      <c r="U880" s="150"/>
      <c r="V880" s="150"/>
      <c r="W880" s="150"/>
      <c r="X880" s="150"/>
      <c r="Y880" s="150"/>
      <c r="Z880" s="150"/>
    </row>
    <row r="881" spans="1:26" ht="12.75" customHeight="1" x14ac:dyDescent="0.25">
      <c r="A881" s="150"/>
      <c r="B881" s="150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  <c r="M881" s="150"/>
      <c r="N881" s="150"/>
      <c r="O881" s="150"/>
      <c r="P881" s="150"/>
      <c r="Q881" s="150"/>
      <c r="R881" s="150"/>
      <c r="S881" s="150"/>
      <c r="T881" s="150"/>
      <c r="U881" s="150"/>
      <c r="V881" s="150"/>
      <c r="W881" s="150"/>
      <c r="X881" s="150"/>
      <c r="Y881" s="150"/>
      <c r="Z881" s="150"/>
    </row>
    <row r="882" spans="1:26" ht="12.75" customHeight="1" x14ac:dyDescent="0.25">
      <c r="A882" s="150"/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  <c r="M882" s="150"/>
      <c r="N882" s="150"/>
      <c r="O882" s="150"/>
      <c r="P882" s="150"/>
      <c r="Q882" s="150"/>
      <c r="R882" s="150"/>
      <c r="S882" s="150"/>
      <c r="T882" s="150"/>
      <c r="U882" s="150"/>
      <c r="V882" s="150"/>
      <c r="W882" s="150"/>
      <c r="X882" s="150"/>
      <c r="Y882" s="150"/>
      <c r="Z882" s="150"/>
    </row>
    <row r="883" spans="1:26" ht="12.75" customHeight="1" x14ac:dyDescent="0.25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  <c r="M883" s="150"/>
      <c r="N883" s="150"/>
      <c r="O883" s="150"/>
      <c r="P883" s="150"/>
      <c r="Q883" s="150"/>
      <c r="R883" s="150"/>
      <c r="S883" s="150"/>
      <c r="T883" s="150"/>
      <c r="U883" s="150"/>
      <c r="V883" s="150"/>
      <c r="W883" s="150"/>
      <c r="X883" s="150"/>
      <c r="Y883" s="150"/>
      <c r="Z883" s="150"/>
    </row>
    <row r="884" spans="1:26" ht="12.75" customHeight="1" x14ac:dyDescent="0.25">
      <c r="A884" s="150"/>
      <c r="B884" s="150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  <c r="M884" s="150"/>
      <c r="N884" s="150"/>
      <c r="O884" s="150"/>
      <c r="P884" s="150"/>
      <c r="Q884" s="150"/>
      <c r="R884" s="150"/>
      <c r="S884" s="150"/>
      <c r="T884" s="150"/>
      <c r="U884" s="150"/>
      <c r="V884" s="150"/>
      <c r="W884" s="150"/>
      <c r="X884" s="150"/>
      <c r="Y884" s="150"/>
      <c r="Z884" s="150"/>
    </row>
    <row r="885" spans="1:26" ht="12.75" customHeight="1" x14ac:dyDescent="0.25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  <c r="M885" s="150"/>
      <c r="N885" s="150"/>
      <c r="O885" s="150"/>
      <c r="P885" s="150"/>
      <c r="Q885" s="150"/>
      <c r="R885" s="150"/>
      <c r="S885" s="150"/>
      <c r="T885" s="150"/>
      <c r="U885" s="150"/>
      <c r="V885" s="150"/>
      <c r="W885" s="150"/>
      <c r="X885" s="150"/>
      <c r="Y885" s="150"/>
      <c r="Z885" s="150"/>
    </row>
    <row r="886" spans="1:26" ht="12.75" customHeight="1" x14ac:dyDescent="0.25">
      <c r="A886" s="150"/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  <c r="M886" s="150"/>
      <c r="N886" s="150"/>
      <c r="O886" s="150"/>
      <c r="P886" s="150"/>
      <c r="Q886" s="150"/>
      <c r="R886" s="150"/>
      <c r="S886" s="150"/>
      <c r="T886" s="150"/>
      <c r="U886" s="150"/>
      <c r="V886" s="150"/>
      <c r="W886" s="150"/>
      <c r="X886" s="150"/>
      <c r="Y886" s="150"/>
      <c r="Z886" s="150"/>
    </row>
    <row r="887" spans="1:26" ht="12.75" customHeight="1" x14ac:dyDescent="0.25">
      <c r="A887" s="150"/>
      <c r="B887" s="150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  <c r="M887" s="150"/>
      <c r="N887" s="150"/>
      <c r="O887" s="150"/>
      <c r="P887" s="150"/>
      <c r="Q887" s="150"/>
      <c r="R887" s="150"/>
      <c r="S887" s="150"/>
      <c r="T887" s="150"/>
      <c r="U887" s="150"/>
      <c r="V887" s="150"/>
      <c r="W887" s="150"/>
      <c r="X887" s="150"/>
      <c r="Y887" s="150"/>
      <c r="Z887" s="150"/>
    </row>
    <row r="888" spans="1:26" ht="12.75" customHeight="1" x14ac:dyDescent="0.25">
      <c r="A888" s="150"/>
      <c r="B888" s="150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  <c r="M888" s="150"/>
      <c r="N888" s="150"/>
      <c r="O888" s="150"/>
      <c r="P888" s="150"/>
      <c r="Q888" s="150"/>
      <c r="R888" s="150"/>
      <c r="S888" s="150"/>
      <c r="T888" s="150"/>
      <c r="U888" s="150"/>
      <c r="V888" s="150"/>
      <c r="W888" s="150"/>
      <c r="X888" s="150"/>
      <c r="Y888" s="150"/>
      <c r="Z888" s="150"/>
    </row>
    <row r="889" spans="1:26" ht="12.75" customHeight="1" x14ac:dyDescent="0.25">
      <c r="A889" s="150"/>
      <c r="B889" s="150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  <c r="M889" s="150"/>
      <c r="N889" s="150"/>
      <c r="O889" s="150"/>
      <c r="P889" s="150"/>
      <c r="Q889" s="150"/>
      <c r="R889" s="150"/>
      <c r="S889" s="150"/>
      <c r="T889" s="150"/>
      <c r="U889" s="150"/>
      <c r="V889" s="150"/>
      <c r="W889" s="150"/>
      <c r="X889" s="150"/>
      <c r="Y889" s="150"/>
      <c r="Z889" s="150"/>
    </row>
    <row r="890" spans="1:26" ht="12.75" customHeight="1" x14ac:dyDescent="0.25">
      <c r="A890" s="150"/>
      <c r="B890" s="150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  <c r="M890" s="150"/>
      <c r="N890" s="150"/>
      <c r="O890" s="150"/>
      <c r="P890" s="150"/>
      <c r="Q890" s="150"/>
      <c r="R890" s="150"/>
      <c r="S890" s="150"/>
      <c r="T890" s="150"/>
      <c r="U890" s="150"/>
      <c r="V890" s="150"/>
      <c r="W890" s="150"/>
      <c r="X890" s="150"/>
      <c r="Y890" s="150"/>
      <c r="Z890" s="150"/>
    </row>
    <row r="891" spans="1:26" ht="12.75" customHeight="1" x14ac:dyDescent="0.25">
      <c r="A891" s="150"/>
      <c r="B891" s="150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  <c r="M891" s="150"/>
      <c r="N891" s="150"/>
      <c r="O891" s="150"/>
      <c r="P891" s="150"/>
      <c r="Q891" s="150"/>
      <c r="R891" s="150"/>
      <c r="S891" s="150"/>
      <c r="T891" s="150"/>
      <c r="U891" s="150"/>
      <c r="V891" s="150"/>
      <c r="W891" s="150"/>
      <c r="X891" s="150"/>
      <c r="Y891" s="150"/>
      <c r="Z891" s="150"/>
    </row>
    <row r="892" spans="1:26" ht="12.75" customHeight="1" x14ac:dyDescent="0.25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  <c r="M892" s="150"/>
      <c r="N892" s="150"/>
      <c r="O892" s="150"/>
      <c r="P892" s="150"/>
      <c r="Q892" s="150"/>
      <c r="R892" s="150"/>
      <c r="S892" s="150"/>
      <c r="T892" s="150"/>
      <c r="U892" s="150"/>
      <c r="V892" s="150"/>
      <c r="W892" s="150"/>
      <c r="X892" s="150"/>
      <c r="Y892" s="150"/>
      <c r="Z892" s="150"/>
    </row>
    <row r="893" spans="1:26" ht="12.75" customHeight="1" x14ac:dyDescent="0.25">
      <c r="A893" s="150"/>
      <c r="B893" s="150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  <c r="M893" s="150"/>
      <c r="N893" s="150"/>
      <c r="O893" s="150"/>
      <c r="P893" s="150"/>
      <c r="Q893" s="150"/>
      <c r="R893" s="150"/>
      <c r="S893" s="150"/>
      <c r="T893" s="150"/>
      <c r="U893" s="150"/>
      <c r="V893" s="150"/>
      <c r="W893" s="150"/>
      <c r="X893" s="150"/>
      <c r="Y893" s="150"/>
      <c r="Z893" s="150"/>
    </row>
    <row r="894" spans="1:26" ht="12.75" customHeight="1" x14ac:dyDescent="0.25">
      <c r="A894" s="150"/>
      <c r="B894" s="150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  <c r="M894" s="150"/>
      <c r="N894" s="150"/>
      <c r="O894" s="150"/>
      <c r="P894" s="150"/>
      <c r="Q894" s="150"/>
      <c r="R894" s="150"/>
      <c r="S894" s="150"/>
      <c r="T894" s="150"/>
      <c r="U894" s="150"/>
      <c r="V894" s="150"/>
      <c r="W894" s="150"/>
      <c r="X894" s="150"/>
      <c r="Y894" s="150"/>
      <c r="Z894" s="150"/>
    </row>
    <row r="895" spans="1:26" ht="12.75" customHeight="1" x14ac:dyDescent="0.25">
      <c r="A895" s="150"/>
      <c r="B895" s="150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  <c r="M895" s="150"/>
      <c r="N895" s="150"/>
      <c r="O895" s="150"/>
      <c r="P895" s="150"/>
      <c r="Q895" s="150"/>
      <c r="R895" s="150"/>
      <c r="S895" s="150"/>
      <c r="T895" s="150"/>
      <c r="U895" s="150"/>
      <c r="V895" s="150"/>
      <c r="W895" s="150"/>
      <c r="X895" s="150"/>
      <c r="Y895" s="150"/>
      <c r="Z895" s="150"/>
    </row>
    <row r="896" spans="1:26" ht="12.75" customHeight="1" x14ac:dyDescent="0.25">
      <c r="A896" s="150"/>
      <c r="B896" s="150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  <c r="M896" s="150"/>
      <c r="N896" s="150"/>
      <c r="O896" s="150"/>
      <c r="P896" s="150"/>
      <c r="Q896" s="150"/>
      <c r="R896" s="150"/>
      <c r="S896" s="150"/>
      <c r="T896" s="150"/>
      <c r="U896" s="150"/>
      <c r="V896" s="150"/>
      <c r="W896" s="150"/>
      <c r="X896" s="150"/>
      <c r="Y896" s="150"/>
      <c r="Z896" s="150"/>
    </row>
    <row r="897" spans="1:26" ht="12.75" customHeight="1" x14ac:dyDescent="0.25">
      <c r="A897" s="150"/>
      <c r="B897" s="150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  <c r="M897" s="150"/>
      <c r="N897" s="150"/>
      <c r="O897" s="150"/>
      <c r="P897" s="150"/>
      <c r="Q897" s="150"/>
      <c r="R897" s="150"/>
      <c r="S897" s="150"/>
      <c r="T897" s="150"/>
      <c r="U897" s="150"/>
      <c r="V897" s="150"/>
      <c r="W897" s="150"/>
      <c r="X897" s="150"/>
      <c r="Y897" s="150"/>
      <c r="Z897" s="150"/>
    </row>
    <row r="898" spans="1:26" ht="12.75" customHeight="1" x14ac:dyDescent="0.25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  <c r="M898" s="150"/>
      <c r="N898" s="150"/>
      <c r="O898" s="150"/>
      <c r="P898" s="150"/>
      <c r="Q898" s="150"/>
      <c r="R898" s="150"/>
      <c r="S898" s="150"/>
      <c r="T898" s="150"/>
      <c r="U898" s="150"/>
      <c r="V898" s="150"/>
      <c r="W898" s="150"/>
      <c r="X898" s="150"/>
      <c r="Y898" s="150"/>
      <c r="Z898" s="150"/>
    </row>
    <row r="899" spans="1:26" ht="12.75" customHeight="1" x14ac:dyDescent="0.25">
      <c r="A899" s="150"/>
      <c r="B899" s="150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  <c r="M899" s="150"/>
      <c r="N899" s="150"/>
      <c r="O899" s="150"/>
      <c r="P899" s="150"/>
      <c r="Q899" s="150"/>
      <c r="R899" s="150"/>
      <c r="S899" s="150"/>
      <c r="T899" s="150"/>
      <c r="U899" s="150"/>
      <c r="V899" s="150"/>
      <c r="W899" s="150"/>
      <c r="X899" s="150"/>
      <c r="Y899" s="150"/>
      <c r="Z899" s="150"/>
    </row>
    <row r="900" spans="1:26" ht="12.75" customHeight="1" x14ac:dyDescent="0.25">
      <c r="A900" s="150"/>
      <c r="B900" s="150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  <c r="M900" s="150"/>
      <c r="N900" s="150"/>
      <c r="O900" s="150"/>
      <c r="P900" s="150"/>
      <c r="Q900" s="150"/>
      <c r="R900" s="150"/>
      <c r="S900" s="150"/>
      <c r="T900" s="150"/>
      <c r="U900" s="150"/>
      <c r="V900" s="150"/>
      <c r="W900" s="150"/>
      <c r="X900" s="150"/>
      <c r="Y900" s="150"/>
      <c r="Z900" s="150"/>
    </row>
    <row r="901" spans="1:26" ht="12.75" customHeight="1" x14ac:dyDescent="0.25">
      <c r="A901" s="150"/>
      <c r="B901" s="150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  <c r="M901" s="150"/>
      <c r="N901" s="150"/>
      <c r="O901" s="150"/>
      <c r="P901" s="150"/>
      <c r="Q901" s="150"/>
      <c r="R901" s="150"/>
      <c r="S901" s="150"/>
      <c r="T901" s="150"/>
      <c r="U901" s="150"/>
      <c r="V901" s="150"/>
      <c r="W901" s="150"/>
      <c r="X901" s="150"/>
      <c r="Y901" s="150"/>
      <c r="Z901" s="150"/>
    </row>
    <row r="902" spans="1:26" ht="12.75" customHeight="1" x14ac:dyDescent="0.25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  <c r="M902" s="150"/>
      <c r="N902" s="150"/>
      <c r="O902" s="150"/>
      <c r="P902" s="150"/>
      <c r="Q902" s="150"/>
      <c r="R902" s="150"/>
      <c r="S902" s="150"/>
      <c r="T902" s="150"/>
      <c r="U902" s="150"/>
      <c r="V902" s="150"/>
      <c r="W902" s="150"/>
      <c r="X902" s="150"/>
      <c r="Y902" s="150"/>
      <c r="Z902" s="150"/>
    </row>
    <row r="903" spans="1:26" ht="12.75" customHeight="1" x14ac:dyDescent="0.25">
      <c r="A903" s="150"/>
      <c r="B903" s="150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  <c r="M903" s="150"/>
      <c r="N903" s="150"/>
      <c r="O903" s="150"/>
      <c r="P903" s="150"/>
      <c r="Q903" s="150"/>
      <c r="R903" s="150"/>
      <c r="S903" s="150"/>
      <c r="T903" s="150"/>
      <c r="U903" s="150"/>
      <c r="V903" s="150"/>
      <c r="W903" s="150"/>
      <c r="X903" s="150"/>
      <c r="Y903" s="150"/>
      <c r="Z903" s="150"/>
    </row>
    <row r="904" spans="1:26" ht="12.75" customHeight="1" x14ac:dyDescent="0.25">
      <c r="A904" s="150"/>
      <c r="B904" s="150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  <c r="M904" s="150"/>
      <c r="N904" s="150"/>
      <c r="O904" s="150"/>
      <c r="P904" s="150"/>
      <c r="Q904" s="150"/>
      <c r="R904" s="150"/>
      <c r="S904" s="150"/>
      <c r="T904" s="150"/>
      <c r="U904" s="150"/>
      <c r="V904" s="150"/>
      <c r="W904" s="150"/>
      <c r="X904" s="150"/>
      <c r="Y904" s="150"/>
      <c r="Z904" s="150"/>
    </row>
    <row r="905" spans="1:26" ht="12.75" customHeight="1" x14ac:dyDescent="0.25">
      <c r="A905" s="150"/>
      <c r="B905" s="150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  <c r="M905" s="150"/>
      <c r="N905" s="150"/>
      <c r="O905" s="150"/>
      <c r="P905" s="150"/>
      <c r="Q905" s="150"/>
      <c r="R905" s="150"/>
      <c r="S905" s="150"/>
      <c r="T905" s="150"/>
      <c r="U905" s="150"/>
      <c r="V905" s="150"/>
      <c r="W905" s="150"/>
      <c r="X905" s="150"/>
      <c r="Y905" s="150"/>
      <c r="Z905" s="150"/>
    </row>
    <row r="906" spans="1:26" ht="12.75" customHeight="1" x14ac:dyDescent="0.25">
      <c r="A906" s="150"/>
      <c r="B906" s="150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  <c r="M906" s="150"/>
      <c r="N906" s="150"/>
      <c r="O906" s="150"/>
      <c r="P906" s="150"/>
      <c r="Q906" s="150"/>
      <c r="R906" s="150"/>
      <c r="S906" s="150"/>
      <c r="T906" s="150"/>
      <c r="U906" s="150"/>
      <c r="V906" s="150"/>
      <c r="W906" s="150"/>
      <c r="X906" s="150"/>
      <c r="Y906" s="150"/>
      <c r="Z906" s="150"/>
    </row>
    <row r="907" spans="1:26" ht="12.75" customHeight="1" x14ac:dyDescent="0.25">
      <c r="A907" s="150"/>
      <c r="B907" s="150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  <c r="M907" s="150"/>
      <c r="N907" s="150"/>
      <c r="O907" s="150"/>
      <c r="P907" s="150"/>
      <c r="Q907" s="150"/>
      <c r="R907" s="150"/>
      <c r="S907" s="150"/>
      <c r="T907" s="150"/>
      <c r="U907" s="150"/>
      <c r="V907" s="150"/>
      <c r="W907" s="150"/>
      <c r="X907" s="150"/>
      <c r="Y907" s="150"/>
      <c r="Z907" s="150"/>
    </row>
    <row r="908" spans="1:26" ht="12.75" customHeight="1" x14ac:dyDescent="0.25">
      <c r="A908" s="150"/>
      <c r="B908" s="150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  <c r="M908" s="150"/>
      <c r="N908" s="150"/>
      <c r="O908" s="150"/>
      <c r="P908" s="150"/>
      <c r="Q908" s="150"/>
      <c r="R908" s="150"/>
      <c r="S908" s="150"/>
      <c r="T908" s="150"/>
      <c r="U908" s="150"/>
      <c r="V908" s="150"/>
      <c r="W908" s="150"/>
      <c r="X908" s="150"/>
      <c r="Y908" s="150"/>
      <c r="Z908" s="150"/>
    </row>
    <row r="909" spans="1:26" ht="12.75" customHeight="1" x14ac:dyDescent="0.25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  <c r="M909" s="150"/>
      <c r="N909" s="150"/>
      <c r="O909" s="150"/>
      <c r="P909" s="150"/>
      <c r="Q909" s="150"/>
      <c r="R909" s="150"/>
      <c r="S909" s="150"/>
      <c r="T909" s="150"/>
      <c r="U909" s="150"/>
      <c r="V909" s="150"/>
      <c r="W909" s="150"/>
      <c r="X909" s="150"/>
      <c r="Y909" s="150"/>
      <c r="Z909" s="150"/>
    </row>
    <row r="910" spans="1:26" ht="12.75" customHeight="1" x14ac:dyDescent="0.25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  <c r="M910" s="150"/>
      <c r="N910" s="150"/>
      <c r="O910" s="150"/>
      <c r="P910" s="150"/>
      <c r="Q910" s="150"/>
      <c r="R910" s="150"/>
      <c r="S910" s="150"/>
      <c r="T910" s="150"/>
      <c r="U910" s="150"/>
      <c r="V910" s="150"/>
      <c r="W910" s="150"/>
      <c r="X910" s="150"/>
      <c r="Y910" s="150"/>
      <c r="Z910" s="150"/>
    </row>
    <row r="911" spans="1:26" ht="12.75" customHeight="1" x14ac:dyDescent="0.25">
      <c r="A911" s="150"/>
      <c r="B911" s="150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  <c r="M911" s="150"/>
      <c r="N911" s="150"/>
      <c r="O911" s="150"/>
      <c r="P911" s="150"/>
      <c r="Q911" s="150"/>
      <c r="R911" s="150"/>
      <c r="S911" s="150"/>
      <c r="T911" s="150"/>
      <c r="U911" s="150"/>
      <c r="V911" s="150"/>
      <c r="W911" s="150"/>
      <c r="X911" s="150"/>
      <c r="Y911" s="150"/>
      <c r="Z911" s="150"/>
    </row>
    <row r="912" spans="1:26" ht="12.75" customHeight="1" x14ac:dyDescent="0.25">
      <c r="A912" s="150"/>
      <c r="B912" s="150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  <c r="M912" s="150"/>
      <c r="N912" s="150"/>
      <c r="O912" s="150"/>
      <c r="P912" s="150"/>
      <c r="Q912" s="150"/>
      <c r="R912" s="150"/>
      <c r="S912" s="150"/>
      <c r="T912" s="150"/>
      <c r="U912" s="150"/>
      <c r="V912" s="150"/>
      <c r="W912" s="150"/>
      <c r="X912" s="150"/>
      <c r="Y912" s="150"/>
      <c r="Z912" s="150"/>
    </row>
    <row r="913" spans="1:26" ht="12.75" customHeight="1" x14ac:dyDescent="0.25">
      <c r="A913" s="150"/>
      <c r="B913" s="150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  <c r="M913" s="150"/>
      <c r="N913" s="150"/>
      <c r="O913" s="150"/>
      <c r="P913" s="150"/>
      <c r="Q913" s="150"/>
      <c r="R913" s="150"/>
      <c r="S913" s="150"/>
      <c r="T913" s="150"/>
      <c r="U913" s="150"/>
      <c r="V913" s="150"/>
      <c r="W913" s="150"/>
      <c r="X913" s="150"/>
      <c r="Y913" s="150"/>
      <c r="Z913" s="150"/>
    </row>
    <row r="914" spans="1:26" ht="12.75" customHeight="1" x14ac:dyDescent="0.25">
      <c r="A914" s="150"/>
      <c r="B914" s="150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  <c r="M914" s="150"/>
      <c r="N914" s="150"/>
      <c r="O914" s="150"/>
      <c r="P914" s="150"/>
      <c r="Q914" s="150"/>
      <c r="R914" s="150"/>
      <c r="S914" s="150"/>
      <c r="T914" s="150"/>
      <c r="U914" s="150"/>
      <c r="V914" s="150"/>
      <c r="W914" s="150"/>
      <c r="X914" s="150"/>
      <c r="Y914" s="150"/>
      <c r="Z914" s="150"/>
    </row>
    <row r="915" spans="1:26" ht="12.75" customHeight="1" x14ac:dyDescent="0.25">
      <c r="A915" s="150"/>
      <c r="B915" s="150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  <c r="M915" s="150"/>
      <c r="N915" s="150"/>
      <c r="O915" s="150"/>
      <c r="P915" s="150"/>
      <c r="Q915" s="150"/>
      <c r="R915" s="150"/>
      <c r="S915" s="150"/>
      <c r="T915" s="150"/>
      <c r="U915" s="150"/>
      <c r="V915" s="150"/>
      <c r="W915" s="150"/>
      <c r="X915" s="150"/>
      <c r="Y915" s="150"/>
      <c r="Z915" s="150"/>
    </row>
    <row r="916" spans="1:26" ht="12.75" customHeight="1" x14ac:dyDescent="0.25">
      <c r="A916" s="150"/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  <c r="M916" s="150"/>
      <c r="N916" s="150"/>
      <c r="O916" s="150"/>
      <c r="P916" s="150"/>
      <c r="Q916" s="150"/>
      <c r="R916" s="150"/>
      <c r="S916" s="150"/>
      <c r="T916" s="150"/>
      <c r="U916" s="150"/>
      <c r="V916" s="150"/>
      <c r="W916" s="150"/>
      <c r="X916" s="150"/>
      <c r="Y916" s="150"/>
      <c r="Z916" s="150"/>
    </row>
    <row r="917" spans="1:26" ht="12.75" customHeight="1" x14ac:dyDescent="0.25">
      <c r="A917" s="150"/>
      <c r="B917" s="150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  <c r="M917" s="150"/>
      <c r="N917" s="150"/>
      <c r="O917" s="150"/>
      <c r="P917" s="150"/>
      <c r="Q917" s="150"/>
      <c r="R917" s="150"/>
      <c r="S917" s="150"/>
      <c r="T917" s="150"/>
      <c r="U917" s="150"/>
      <c r="V917" s="150"/>
      <c r="W917" s="150"/>
      <c r="X917" s="150"/>
      <c r="Y917" s="150"/>
      <c r="Z917" s="150"/>
    </row>
    <row r="918" spans="1:26" ht="12.75" customHeight="1" x14ac:dyDescent="0.25">
      <c r="A918" s="150"/>
      <c r="B918" s="150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  <c r="M918" s="150"/>
      <c r="N918" s="150"/>
      <c r="O918" s="150"/>
      <c r="P918" s="150"/>
      <c r="Q918" s="150"/>
      <c r="R918" s="150"/>
      <c r="S918" s="150"/>
      <c r="T918" s="150"/>
      <c r="U918" s="150"/>
      <c r="V918" s="150"/>
      <c r="W918" s="150"/>
      <c r="X918" s="150"/>
      <c r="Y918" s="150"/>
      <c r="Z918" s="150"/>
    </row>
    <row r="919" spans="1:26" ht="12.75" customHeight="1" x14ac:dyDescent="0.25">
      <c r="A919" s="150"/>
      <c r="B919" s="150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  <c r="M919" s="150"/>
      <c r="N919" s="150"/>
      <c r="O919" s="150"/>
      <c r="P919" s="150"/>
      <c r="Q919" s="150"/>
      <c r="R919" s="150"/>
      <c r="S919" s="150"/>
      <c r="T919" s="150"/>
      <c r="U919" s="150"/>
      <c r="V919" s="150"/>
      <c r="W919" s="150"/>
      <c r="X919" s="150"/>
      <c r="Y919" s="150"/>
      <c r="Z919" s="150"/>
    </row>
    <row r="920" spans="1:26" ht="12.75" customHeight="1" x14ac:dyDescent="0.25">
      <c r="A920" s="150"/>
      <c r="B920" s="150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  <c r="M920" s="150"/>
      <c r="N920" s="150"/>
      <c r="O920" s="150"/>
      <c r="P920" s="150"/>
      <c r="Q920" s="150"/>
      <c r="R920" s="150"/>
      <c r="S920" s="150"/>
      <c r="T920" s="150"/>
      <c r="U920" s="150"/>
      <c r="V920" s="150"/>
      <c r="W920" s="150"/>
      <c r="X920" s="150"/>
      <c r="Y920" s="150"/>
      <c r="Z920" s="150"/>
    </row>
    <row r="921" spans="1:26" ht="12.75" customHeight="1" x14ac:dyDescent="0.25">
      <c r="A921" s="150"/>
      <c r="B921" s="150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  <c r="M921" s="150"/>
      <c r="N921" s="150"/>
      <c r="O921" s="150"/>
      <c r="P921" s="150"/>
      <c r="Q921" s="150"/>
      <c r="R921" s="150"/>
      <c r="S921" s="150"/>
      <c r="T921" s="150"/>
      <c r="U921" s="150"/>
      <c r="V921" s="150"/>
      <c r="W921" s="150"/>
      <c r="X921" s="150"/>
      <c r="Y921" s="150"/>
      <c r="Z921" s="150"/>
    </row>
    <row r="922" spans="1:26" ht="12.75" customHeight="1" x14ac:dyDescent="0.25">
      <c r="A922" s="150"/>
      <c r="B922" s="150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  <c r="M922" s="150"/>
      <c r="N922" s="150"/>
      <c r="O922" s="150"/>
      <c r="P922" s="150"/>
      <c r="Q922" s="150"/>
      <c r="R922" s="150"/>
      <c r="S922" s="150"/>
      <c r="T922" s="150"/>
      <c r="U922" s="150"/>
      <c r="V922" s="150"/>
      <c r="W922" s="150"/>
      <c r="X922" s="150"/>
      <c r="Y922" s="150"/>
      <c r="Z922" s="150"/>
    </row>
    <row r="923" spans="1:26" ht="12.75" customHeight="1" x14ac:dyDescent="0.25">
      <c r="A923" s="150"/>
      <c r="B923" s="150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  <c r="M923" s="150"/>
      <c r="N923" s="150"/>
      <c r="O923" s="150"/>
      <c r="P923" s="150"/>
      <c r="Q923" s="150"/>
      <c r="R923" s="150"/>
      <c r="S923" s="150"/>
      <c r="T923" s="150"/>
      <c r="U923" s="150"/>
      <c r="V923" s="150"/>
      <c r="W923" s="150"/>
      <c r="X923" s="150"/>
      <c r="Y923" s="150"/>
      <c r="Z923" s="150"/>
    </row>
    <row r="924" spans="1:26" ht="12.75" customHeight="1" x14ac:dyDescent="0.25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  <c r="M924" s="150"/>
      <c r="N924" s="150"/>
      <c r="O924" s="150"/>
      <c r="P924" s="150"/>
      <c r="Q924" s="150"/>
      <c r="R924" s="150"/>
      <c r="S924" s="150"/>
      <c r="T924" s="150"/>
      <c r="U924" s="150"/>
      <c r="V924" s="150"/>
      <c r="W924" s="150"/>
      <c r="X924" s="150"/>
      <c r="Y924" s="150"/>
      <c r="Z924" s="150"/>
    </row>
    <row r="925" spans="1:26" ht="12.75" customHeight="1" x14ac:dyDescent="0.25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  <c r="M925" s="150"/>
      <c r="N925" s="150"/>
      <c r="O925" s="150"/>
      <c r="P925" s="150"/>
      <c r="Q925" s="150"/>
      <c r="R925" s="150"/>
      <c r="S925" s="150"/>
      <c r="T925" s="150"/>
      <c r="U925" s="150"/>
      <c r="V925" s="150"/>
      <c r="W925" s="150"/>
      <c r="X925" s="150"/>
      <c r="Y925" s="150"/>
      <c r="Z925" s="150"/>
    </row>
    <row r="926" spans="1:26" ht="12.75" customHeight="1" x14ac:dyDescent="0.25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  <c r="M926" s="150"/>
      <c r="N926" s="150"/>
      <c r="O926" s="150"/>
      <c r="P926" s="150"/>
      <c r="Q926" s="150"/>
      <c r="R926" s="150"/>
      <c r="S926" s="150"/>
      <c r="T926" s="150"/>
      <c r="U926" s="150"/>
      <c r="V926" s="150"/>
      <c r="W926" s="150"/>
      <c r="X926" s="150"/>
      <c r="Y926" s="150"/>
      <c r="Z926" s="150"/>
    </row>
    <row r="927" spans="1:26" ht="12.75" customHeight="1" x14ac:dyDescent="0.25">
      <c r="A927" s="150"/>
      <c r="B927" s="150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  <c r="M927" s="150"/>
      <c r="N927" s="150"/>
      <c r="O927" s="150"/>
      <c r="P927" s="150"/>
      <c r="Q927" s="150"/>
      <c r="R927" s="150"/>
      <c r="S927" s="150"/>
      <c r="T927" s="150"/>
      <c r="U927" s="150"/>
      <c r="V927" s="150"/>
      <c r="W927" s="150"/>
      <c r="X927" s="150"/>
      <c r="Y927" s="150"/>
      <c r="Z927" s="150"/>
    </row>
    <row r="928" spans="1:26" ht="12.75" customHeight="1" x14ac:dyDescent="0.25">
      <c r="A928" s="150"/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  <c r="M928" s="150"/>
      <c r="N928" s="150"/>
      <c r="O928" s="150"/>
      <c r="P928" s="150"/>
      <c r="Q928" s="150"/>
      <c r="R928" s="150"/>
      <c r="S928" s="150"/>
      <c r="T928" s="150"/>
      <c r="U928" s="150"/>
      <c r="V928" s="150"/>
      <c r="W928" s="150"/>
      <c r="X928" s="150"/>
      <c r="Y928" s="150"/>
      <c r="Z928" s="150"/>
    </row>
    <row r="929" spans="1:26" ht="12.75" customHeight="1" x14ac:dyDescent="0.25">
      <c r="A929" s="150"/>
      <c r="B929" s="150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  <c r="M929" s="150"/>
      <c r="N929" s="150"/>
      <c r="O929" s="150"/>
      <c r="P929" s="150"/>
      <c r="Q929" s="150"/>
      <c r="R929" s="150"/>
      <c r="S929" s="150"/>
      <c r="T929" s="150"/>
      <c r="U929" s="150"/>
      <c r="V929" s="150"/>
      <c r="W929" s="150"/>
      <c r="X929" s="150"/>
      <c r="Y929" s="150"/>
      <c r="Z929" s="150"/>
    </row>
    <row r="930" spans="1:26" ht="12.75" customHeight="1" x14ac:dyDescent="0.25">
      <c r="A930" s="150"/>
      <c r="B930" s="150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  <c r="M930" s="150"/>
      <c r="N930" s="150"/>
      <c r="O930" s="150"/>
      <c r="P930" s="150"/>
      <c r="Q930" s="150"/>
      <c r="R930" s="150"/>
      <c r="S930" s="150"/>
      <c r="T930" s="150"/>
      <c r="U930" s="150"/>
      <c r="V930" s="150"/>
      <c r="W930" s="150"/>
      <c r="X930" s="150"/>
      <c r="Y930" s="150"/>
      <c r="Z930" s="150"/>
    </row>
    <row r="931" spans="1:26" ht="12.75" customHeight="1" x14ac:dyDescent="0.25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  <c r="M931" s="150"/>
      <c r="N931" s="150"/>
      <c r="O931" s="150"/>
      <c r="P931" s="150"/>
      <c r="Q931" s="150"/>
      <c r="R931" s="150"/>
      <c r="S931" s="150"/>
      <c r="T931" s="150"/>
      <c r="U931" s="150"/>
      <c r="V931" s="150"/>
      <c r="W931" s="150"/>
      <c r="X931" s="150"/>
      <c r="Y931" s="150"/>
      <c r="Z931" s="150"/>
    </row>
    <row r="932" spans="1:26" ht="12.75" customHeight="1" x14ac:dyDescent="0.25">
      <c r="A932" s="150"/>
      <c r="B932" s="150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  <c r="M932" s="150"/>
      <c r="N932" s="150"/>
      <c r="O932" s="150"/>
      <c r="P932" s="150"/>
      <c r="Q932" s="150"/>
      <c r="R932" s="150"/>
      <c r="S932" s="150"/>
      <c r="T932" s="150"/>
      <c r="U932" s="150"/>
      <c r="V932" s="150"/>
      <c r="W932" s="150"/>
      <c r="X932" s="150"/>
      <c r="Y932" s="150"/>
      <c r="Z932" s="150"/>
    </row>
    <row r="933" spans="1:26" ht="12.75" customHeight="1" x14ac:dyDescent="0.25">
      <c r="A933" s="150"/>
      <c r="B933" s="150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  <c r="M933" s="150"/>
      <c r="N933" s="150"/>
      <c r="O933" s="150"/>
      <c r="P933" s="150"/>
      <c r="Q933" s="150"/>
      <c r="R933" s="150"/>
      <c r="S933" s="150"/>
      <c r="T933" s="150"/>
      <c r="U933" s="150"/>
      <c r="V933" s="150"/>
      <c r="W933" s="150"/>
      <c r="X933" s="150"/>
      <c r="Y933" s="150"/>
      <c r="Z933" s="150"/>
    </row>
    <row r="934" spans="1:26" ht="12.75" customHeight="1" x14ac:dyDescent="0.25">
      <c r="A934" s="150"/>
      <c r="B934" s="150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  <c r="M934" s="150"/>
      <c r="N934" s="150"/>
      <c r="O934" s="150"/>
      <c r="P934" s="150"/>
      <c r="Q934" s="150"/>
      <c r="R934" s="150"/>
      <c r="S934" s="150"/>
      <c r="T934" s="150"/>
      <c r="U934" s="150"/>
      <c r="V934" s="150"/>
      <c r="W934" s="150"/>
      <c r="X934" s="150"/>
      <c r="Y934" s="150"/>
      <c r="Z934" s="150"/>
    </row>
    <row r="935" spans="1:26" ht="12.75" customHeight="1" x14ac:dyDescent="0.25">
      <c r="A935" s="150"/>
      <c r="B935" s="150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  <c r="M935" s="150"/>
      <c r="N935" s="150"/>
      <c r="O935" s="150"/>
      <c r="P935" s="150"/>
      <c r="Q935" s="150"/>
      <c r="R935" s="150"/>
      <c r="S935" s="150"/>
      <c r="T935" s="150"/>
      <c r="U935" s="150"/>
      <c r="V935" s="150"/>
      <c r="W935" s="150"/>
      <c r="X935" s="150"/>
      <c r="Y935" s="150"/>
      <c r="Z935" s="150"/>
    </row>
    <row r="936" spans="1:26" ht="12.75" customHeight="1" x14ac:dyDescent="0.25">
      <c r="A936" s="150"/>
      <c r="B936" s="150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  <c r="M936" s="150"/>
      <c r="N936" s="150"/>
      <c r="O936" s="150"/>
      <c r="P936" s="150"/>
      <c r="Q936" s="150"/>
      <c r="R936" s="150"/>
      <c r="S936" s="150"/>
      <c r="T936" s="150"/>
      <c r="U936" s="150"/>
      <c r="V936" s="150"/>
      <c r="W936" s="150"/>
      <c r="X936" s="150"/>
      <c r="Y936" s="150"/>
      <c r="Z936" s="150"/>
    </row>
    <row r="937" spans="1:26" ht="12.75" customHeight="1" x14ac:dyDescent="0.25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  <c r="M937" s="150"/>
      <c r="N937" s="150"/>
      <c r="O937" s="150"/>
      <c r="P937" s="150"/>
      <c r="Q937" s="150"/>
      <c r="R937" s="150"/>
      <c r="S937" s="150"/>
      <c r="T937" s="150"/>
      <c r="U937" s="150"/>
      <c r="V937" s="150"/>
      <c r="W937" s="150"/>
      <c r="X937" s="150"/>
      <c r="Y937" s="150"/>
      <c r="Z937" s="150"/>
    </row>
    <row r="938" spans="1:26" ht="12.75" customHeight="1" x14ac:dyDescent="0.25">
      <c r="A938" s="150"/>
      <c r="B938" s="150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  <c r="M938" s="150"/>
      <c r="N938" s="150"/>
      <c r="O938" s="150"/>
      <c r="P938" s="150"/>
      <c r="Q938" s="150"/>
      <c r="R938" s="150"/>
      <c r="S938" s="150"/>
      <c r="T938" s="150"/>
      <c r="U938" s="150"/>
      <c r="V938" s="150"/>
      <c r="W938" s="150"/>
      <c r="X938" s="150"/>
      <c r="Y938" s="150"/>
      <c r="Z938" s="150"/>
    </row>
    <row r="939" spans="1:26" ht="12.75" customHeight="1" x14ac:dyDescent="0.25">
      <c r="A939" s="150"/>
      <c r="B939" s="150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  <c r="M939" s="150"/>
      <c r="N939" s="150"/>
      <c r="O939" s="150"/>
      <c r="P939" s="150"/>
      <c r="Q939" s="150"/>
      <c r="R939" s="150"/>
      <c r="S939" s="150"/>
      <c r="T939" s="150"/>
      <c r="U939" s="150"/>
      <c r="V939" s="150"/>
      <c r="W939" s="150"/>
      <c r="X939" s="150"/>
      <c r="Y939" s="150"/>
      <c r="Z939" s="150"/>
    </row>
    <row r="940" spans="1:26" ht="12.75" customHeight="1" x14ac:dyDescent="0.25">
      <c r="A940" s="150"/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  <c r="M940" s="150"/>
      <c r="N940" s="150"/>
      <c r="O940" s="150"/>
      <c r="P940" s="150"/>
      <c r="Q940" s="150"/>
      <c r="R940" s="150"/>
      <c r="S940" s="150"/>
      <c r="T940" s="150"/>
      <c r="U940" s="150"/>
      <c r="V940" s="150"/>
      <c r="W940" s="150"/>
      <c r="X940" s="150"/>
      <c r="Y940" s="150"/>
      <c r="Z940" s="150"/>
    </row>
    <row r="941" spans="1:26" ht="12.75" customHeight="1" x14ac:dyDescent="0.25">
      <c r="A941" s="150"/>
      <c r="B941" s="150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  <c r="M941" s="150"/>
      <c r="N941" s="150"/>
      <c r="O941" s="150"/>
      <c r="P941" s="150"/>
      <c r="Q941" s="150"/>
      <c r="R941" s="150"/>
      <c r="S941" s="150"/>
      <c r="T941" s="150"/>
      <c r="U941" s="150"/>
      <c r="V941" s="150"/>
      <c r="W941" s="150"/>
      <c r="X941" s="150"/>
      <c r="Y941" s="150"/>
      <c r="Z941" s="150"/>
    </row>
    <row r="942" spans="1:26" ht="12.75" customHeight="1" x14ac:dyDescent="0.25">
      <c r="A942" s="150"/>
      <c r="B942" s="150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</row>
    <row r="943" spans="1:26" ht="12.75" customHeight="1" x14ac:dyDescent="0.25">
      <c r="A943" s="150"/>
      <c r="B943" s="150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</row>
    <row r="944" spans="1:26" ht="12.75" customHeight="1" x14ac:dyDescent="0.25">
      <c r="A944" s="150"/>
      <c r="B944" s="150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</row>
    <row r="945" spans="1:26" ht="12.75" customHeight="1" x14ac:dyDescent="0.25">
      <c r="A945" s="150"/>
      <c r="B945" s="150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</row>
    <row r="946" spans="1:26" ht="12.75" customHeight="1" x14ac:dyDescent="0.25">
      <c r="A946" s="150"/>
      <c r="B946" s="150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</row>
    <row r="947" spans="1:26" ht="12.75" customHeight="1" x14ac:dyDescent="0.25">
      <c r="A947" s="150"/>
      <c r="B947" s="150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</row>
    <row r="948" spans="1:26" ht="12.75" customHeight="1" x14ac:dyDescent="0.25">
      <c r="A948" s="150"/>
      <c r="B948" s="150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</row>
    <row r="949" spans="1:26" ht="12.75" customHeight="1" x14ac:dyDescent="0.25">
      <c r="A949" s="150"/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</row>
    <row r="950" spans="1:26" ht="12.75" customHeight="1" x14ac:dyDescent="0.25">
      <c r="A950" s="150"/>
      <c r="B950" s="150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</row>
    <row r="951" spans="1:26" ht="12.75" customHeight="1" x14ac:dyDescent="0.25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  <c r="M951" s="150"/>
      <c r="N951" s="150"/>
      <c r="O951" s="150"/>
      <c r="P951" s="150"/>
      <c r="Q951" s="150"/>
      <c r="R951" s="150"/>
      <c r="S951" s="150"/>
      <c r="T951" s="150"/>
      <c r="U951" s="150"/>
      <c r="V951" s="150"/>
      <c r="W951" s="150"/>
      <c r="X951" s="150"/>
      <c r="Y951" s="150"/>
      <c r="Z951" s="150"/>
    </row>
    <row r="952" spans="1:26" ht="12.75" customHeight="1" x14ac:dyDescent="0.25">
      <c r="A952" s="150"/>
      <c r="B952" s="150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  <c r="M952" s="150"/>
      <c r="N952" s="150"/>
      <c r="O952" s="150"/>
      <c r="P952" s="150"/>
      <c r="Q952" s="150"/>
      <c r="R952" s="150"/>
      <c r="S952" s="150"/>
      <c r="T952" s="150"/>
      <c r="U952" s="150"/>
      <c r="V952" s="150"/>
      <c r="W952" s="150"/>
      <c r="X952" s="150"/>
      <c r="Y952" s="150"/>
      <c r="Z952" s="150"/>
    </row>
    <row r="953" spans="1:26" ht="12.75" customHeight="1" x14ac:dyDescent="0.25">
      <c r="A953" s="150"/>
      <c r="B953" s="150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  <c r="M953" s="150"/>
      <c r="N953" s="150"/>
      <c r="O953" s="150"/>
      <c r="P953" s="150"/>
      <c r="Q953" s="150"/>
      <c r="R953" s="150"/>
      <c r="S953" s="150"/>
      <c r="T953" s="150"/>
      <c r="U953" s="150"/>
      <c r="V953" s="150"/>
      <c r="W953" s="150"/>
      <c r="X953" s="150"/>
      <c r="Y953" s="150"/>
      <c r="Z953" s="150"/>
    </row>
    <row r="954" spans="1:26" ht="12.75" customHeight="1" x14ac:dyDescent="0.25">
      <c r="A954" s="150"/>
      <c r="B954" s="150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  <c r="M954" s="150"/>
      <c r="N954" s="150"/>
      <c r="O954" s="150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</row>
    <row r="955" spans="1:26" ht="12.75" customHeight="1" x14ac:dyDescent="0.25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  <c r="M955" s="150"/>
      <c r="N955" s="150"/>
      <c r="O955" s="150"/>
      <c r="P955" s="150"/>
      <c r="Q955" s="150"/>
      <c r="R955" s="150"/>
      <c r="S955" s="150"/>
      <c r="T955" s="150"/>
      <c r="U955" s="150"/>
      <c r="V955" s="150"/>
      <c r="W955" s="150"/>
      <c r="X955" s="150"/>
      <c r="Y955" s="150"/>
      <c r="Z955" s="150"/>
    </row>
    <row r="956" spans="1:26" ht="12.75" customHeight="1" x14ac:dyDescent="0.25">
      <c r="A956" s="150"/>
      <c r="B956" s="150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  <c r="M956" s="150"/>
      <c r="N956" s="150"/>
      <c r="O956" s="150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</row>
    <row r="957" spans="1:26" ht="12.75" customHeight="1" x14ac:dyDescent="0.25">
      <c r="A957" s="150"/>
      <c r="B957" s="150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  <c r="M957" s="150"/>
      <c r="N957" s="150"/>
      <c r="O957" s="150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</row>
    <row r="958" spans="1:26" ht="12.75" customHeight="1" x14ac:dyDescent="0.25">
      <c r="A958" s="150"/>
      <c r="B958" s="150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  <c r="M958" s="150"/>
      <c r="N958" s="150"/>
      <c r="O958" s="150"/>
      <c r="P958" s="150"/>
      <c r="Q958" s="150"/>
      <c r="R958" s="150"/>
      <c r="S958" s="150"/>
      <c r="T958" s="150"/>
      <c r="U958" s="150"/>
      <c r="V958" s="150"/>
      <c r="W958" s="150"/>
      <c r="X958" s="150"/>
      <c r="Y958" s="150"/>
      <c r="Z958" s="150"/>
    </row>
    <row r="959" spans="1:26" ht="12.75" customHeight="1" x14ac:dyDescent="0.25">
      <c r="A959" s="150"/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  <c r="M959" s="150"/>
      <c r="N959" s="150"/>
      <c r="O959" s="150"/>
      <c r="P959" s="150"/>
      <c r="Q959" s="150"/>
      <c r="R959" s="150"/>
      <c r="S959" s="150"/>
      <c r="T959" s="150"/>
      <c r="U959" s="150"/>
      <c r="V959" s="150"/>
      <c r="W959" s="150"/>
      <c r="X959" s="150"/>
      <c r="Y959" s="150"/>
      <c r="Z959" s="150"/>
    </row>
    <row r="960" spans="1:26" ht="12.75" customHeight="1" x14ac:dyDescent="0.25">
      <c r="A960" s="150"/>
      <c r="B960" s="150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</row>
    <row r="961" spans="1:26" ht="12.75" customHeight="1" x14ac:dyDescent="0.25">
      <c r="A961" s="150"/>
      <c r="B961" s="150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</row>
    <row r="962" spans="1:26" ht="12.75" customHeight="1" x14ac:dyDescent="0.25">
      <c r="A962" s="150"/>
      <c r="B962" s="150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50"/>
      <c r="Y962" s="150"/>
      <c r="Z962" s="150"/>
    </row>
    <row r="963" spans="1:26" ht="12.75" customHeight="1" x14ac:dyDescent="0.25">
      <c r="A963" s="150"/>
      <c r="B963" s="150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50"/>
      <c r="X963" s="150"/>
      <c r="Y963" s="150"/>
      <c r="Z963" s="150"/>
    </row>
    <row r="964" spans="1:26" ht="12.75" customHeight="1" x14ac:dyDescent="0.25">
      <c r="A964" s="150"/>
      <c r="B964" s="150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50"/>
      <c r="V964" s="150"/>
      <c r="W964" s="150"/>
      <c r="X964" s="150"/>
      <c r="Y964" s="150"/>
      <c r="Z964" s="150"/>
    </row>
    <row r="965" spans="1:26" ht="12.75" customHeight="1" x14ac:dyDescent="0.25">
      <c r="A965" s="150"/>
      <c r="B965" s="150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  <c r="Q965" s="150"/>
      <c r="R965" s="150"/>
      <c r="S965" s="150"/>
      <c r="T965" s="150"/>
      <c r="U965" s="150"/>
      <c r="V965" s="150"/>
      <c r="W965" s="150"/>
      <c r="X965" s="150"/>
      <c r="Y965" s="150"/>
      <c r="Z965" s="150"/>
    </row>
    <row r="966" spans="1:26" ht="12.75" customHeight="1" x14ac:dyDescent="0.25">
      <c r="A966" s="150"/>
      <c r="B966" s="150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50"/>
      <c r="W966" s="150"/>
      <c r="X966" s="150"/>
      <c r="Y966" s="150"/>
      <c r="Z966" s="150"/>
    </row>
    <row r="967" spans="1:26" ht="12.75" customHeight="1" x14ac:dyDescent="0.25">
      <c r="A967" s="150"/>
      <c r="B967" s="150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50"/>
    </row>
    <row r="968" spans="1:26" ht="12.75" customHeight="1" x14ac:dyDescent="0.25">
      <c r="A968" s="150"/>
      <c r="B968" s="150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  <c r="Q968" s="150"/>
      <c r="R968" s="150"/>
      <c r="S968" s="150"/>
      <c r="T968" s="150"/>
      <c r="U968" s="150"/>
      <c r="V968" s="150"/>
      <c r="W968" s="150"/>
      <c r="X968" s="150"/>
      <c r="Y968" s="150"/>
      <c r="Z968" s="150"/>
    </row>
    <row r="969" spans="1:26" ht="12.75" customHeight="1" x14ac:dyDescent="0.25">
      <c r="A969" s="150"/>
      <c r="B969" s="150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  <c r="M969" s="150"/>
      <c r="N969" s="150"/>
      <c r="O969" s="150"/>
      <c r="P969" s="150"/>
      <c r="Q969" s="150"/>
      <c r="R969" s="150"/>
      <c r="S969" s="150"/>
      <c r="T969" s="150"/>
      <c r="U969" s="150"/>
      <c r="V969" s="150"/>
      <c r="W969" s="150"/>
      <c r="X969" s="150"/>
      <c r="Y969" s="150"/>
      <c r="Z969" s="150"/>
    </row>
    <row r="970" spans="1:26" ht="12.75" customHeight="1" x14ac:dyDescent="0.25">
      <c r="A970" s="150"/>
      <c r="B970" s="150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  <c r="M970" s="150"/>
      <c r="N970" s="150"/>
      <c r="O970" s="150"/>
      <c r="P970" s="150"/>
      <c r="Q970" s="150"/>
      <c r="R970" s="150"/>
      <c r="S970" s="150"/>
      <c r="T970" s="150"/>
      <c r="U970" s="150"/>
      <c r="V970" s="150"/>
      <c r="W970" s="150"/>
      <c r="X970" s="150"/>
      <c r="Y970" s="150"/>
      <c r="Z970" s="150"/>
    </row>
    <row r="971" spans="1:26" ht="12.75" customHeight="1" x14ac:dyDescent="0.25">
      <c r="A971" s="150"/>
      <c r="B971" s="150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  <c r="M971" s="150"/>
      <c r="N971" s="150"/>
      <c r="O971" s="150"/>
      <c r="P971" s="150"/>
      <c r="Q971" s="150"/>
      <c r="R971" s="150"/>
      <c r="S971" s="150"/>
      <c r="T971" s="150"/>
      <c r="U971" s="150"/>
      <c r="V971" s="150"/>
      <c r="W971" s="150"/>
      <c r="X971" s="150"/>
      <c r="Y971" s="150"/>
      <c r="Z971" s="150"/>
    </row>
    <row r="972" spans="1:26" ht="12.75" customHeight="1" x14ac:dyDescent="0.25">
      <c r="A972" s="150"/>
      <c r="B972" s="150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  <c r="M972" s="150"/>
      <c r="N972" s="150"/>
      <c r="O972" s="150"/>
      <c r="P972" s="150"/>
      <c r="Q972" s="150"/>
      <c r="R972" s="150"/>
      <c r="S972" s="150"/>
      <c r="T972" s="150"/>
      <c r="U972" s="150"/>
      <c r="V972" s="150"/>
      <c r="W972" s="150"/>
      <c r="X972" s="150"/>
      <c r="Y972" s="150"/>
      <c r="Z972" s="150"/>
    </row>
    <row r="973" spans="1:26" ht="12.75" customHeight="1" x14ac:dyDescent="0.25">
      <c r="A973" s="150"/>
      <c r="B973" s="150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  <c r="M973" s="150"/>
      <c r="N973" s="150"/>
      <c r="O973" s="150"/>
      <c r="P973" s="150"/>
      <c r="Q973" s="150"/>
      <c r="R973" s="150"/>
      <c r="S973" s="150"/>
      <c r="T973" s="150"/>
      <c r="U973" s="150"/>
      <c r="V973" s="150"/>
      <c r="W973" s="150"/>
      <c r="X973" s="150"/>
      <c r="Y973" s="150"/>
      <c r="Z973" s="150"/>
    </row>
    <row r="974" spans="1:26" ht="12.75" customHeight="1" x14ac:dyDescent="0.25">
      <c r="A974" s="150"/>
      <c r="B974" s="150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  <c r="M974" s="150"/>
      <c r="N974" s="150"/>
      <c r="O974" s="150"/>
      <c r="P974" s="150"/>
      <c r="Q974" s="150"/>
      <c r="R974" s="150"/>
      <c r="S974" s="150"/>
      <c r="T974" s="150"/>
      <c r="U974" s="150"/>
      <c r="V974" s="150"/>
      <c r="W974" s="150"/>
      <c r="X974" s="150"/>
      <c r="Y974" s="150"/>
      <c r="Z974" s="150"/>
    </row>
    <row r="975" spans="1:26" ht="12.75" customHeight="1" x14ac:dyDescent="0.25">
      <c r="A975" s="150"/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  <c r="M975" s="150"/>
      <c r="N975" s="150"/>
      <c r="O975" s="150"/>
      <c r="P975" s="150"/>
      <c r="Q975" s="150"/>
      <c r="R975" s="150"/>
      <c r="S975" s="150"/>
      <c r="T975" s="150"/>
      <c r="U975" s="150"/>
      <c r="V975" s="150"/>
      <c r="W975" s="150"/>
      <c r="X975" s="150"/>
      <c r="Y975" s="150"/>
      <c r="Z975" s="150"/>
    </row>
    <row r="976" spans="1:26" ht="12.75" customHeight="1" x14ac:dyDescent="0.25">
      <c r="A976" s="150"/>
      <c r="B976" s="150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  <c r="M976" s="150"/>
      <c r="N976" s="150"/>
      <c r="O976" s="150"/>
      <c r="P976" s="150"/>
      <c r="Q976" s="150"/>
      <c r="R976" s="150"/>
      <c r="S976" s="150"/>
      <c r="T976" s="150"/>
      <c r="U976" s="150"/>
      <c r="V976" s="150"/>
      <c r="W976" s="150"/>
      <c r="X976" s="150"/>
      <c r="Y976" s="150"/>
      <c r="Z976" s="150"/>
    </row>
    <row r="977" spans="1:26" ht="12.75" customHeight="1" x14ac:dyDescent="0.25">
      <c r="A977" s="150"/>
      <c r="B977" s="150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  <c r="M977" s="150"/>
      <c r="N977" s="150"/>
      <c r="O977" s="150"/>
      <c r="P977" s="150"/>
      <c r="Q977" s="150"/>
      <c r="R977" s="150"/>
      <c r="S977" s="150"/>
      <c r="T977" s="150"/>
      <c r="U977" s="150"/>
      <c r="V977" s="150"/>
      <c r="W977" s="150"/>
      <c r="X977" s="150"/>
      <c r="Y977" s="150"/>
      <c r="Z977" s="150"/>
    </row>
    <row r="978" spans="1:26" ht="12.75" customHeight="1" x14ac:dyDescent="0.25">
      <c r="A978" s="150"/>
      <c r="B978" s="150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</row>
    <row r="979" spans="1:26" ht="12.75" customHeight="1" x14ac:dyDescent="0.25">
      <c r="A979" s="150"/>
      <c r="B979" s="150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</row>
    <row r="980" spans="1:26" ht="12.75" customHeight="1" x14ac:dyDescent="0.25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</row>
    <row r="981" spans="1:26" ht="12.75" customHeight="1" x14ac:dyDescent="0.25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  <c r="Q981" s="150"/>
      <c r="R981" s="150"/>
      <c r="S981" s="150"/>
      <c r="T981" s="150"/>
      <c r="U981" s="150"/>
      <c r="V981" s="150"/>
      <c r="W981" s="150"/>
      <c r="X981" s="150"/>
      <c r="Y981" s="150"/>
      <c r="Z981" s="150"/>
    </row>
    <row r="982" spans="1:26" ht="12.75" customHeight="1" x14ac:dyDescent="0.25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</row>
    <row r="983" spans="1:26" ht="12.75" customHeight="1" x14ac:dyDescent="0.25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</row>
    <row r="984" spans="1:26" ht="12.75" customHeight="1" x14ac:dyDescent="0.25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</row>
    <row r="985" spans="1:26" ht="12.75" customHeight="1" x14ac:dyDescent="0.25">
      <c r="A985" s="150"/>
      <c r="B985" s="150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</row>
    <row r="986" spans="1:26" ht="12.75" customHeight="1" x14ac:dyDescent="0.25">
      <c r="A986" s="150"/>
      <c r="B986" s="150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</row>
    <row r="987" spans="1:26" ht="12.75" customHeight="1" x14ac:dyDescent="0.25">
      <c r="A987" s="150"/>
      <c r="B987" s="150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  <c r="M987" s="150"/>
      <c r="N987" s="150"/>
      <c r="O987" s="150"/>
      <c r="P987" s="150"/>
      <c r="Q987" s="150"/>
      <c r="R987" s="150"/>
      <c r="S987" s="150"/>
      <c r="T987" s="150"/>
      <c r="U987" s="150"/>
      <c r="V987" s="150"/>
      <c r="W987" s="150"/>
      <c r="X987" s="150"/>
      <c r="Y987" s="150"/>
      <c r="Z987" s="150"/>
    </row>
    <row r="988" spans="1:26" ht="12.75" customHeight="1" x14ac:dyDescent="0.25">
      <c r="A988" s="150"/>
      <c r="B988" s="150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  <c r="M988" s="150"/>
      <c r="N988" s="150"/>
      <c r="O988" s="150"/>
      <c r="P988" s="150"/>
      <c r="Q988" s="150"/>
      <c r="R988" s="150"/>
      <c r="S988" s="150"/>
      <c r="T988" s="150"/>
      <c r="U988" s="150"/>
      <c r="V988" s="150"/>
      <c r="W988" s="150"/>
      <c r="X988" s="150"/>
      <c r="Y988" s="150"/>
      <c r="Z988" s="150"/>
    </row>
    <row r="989" spans="1:26" ht="12.75" customHeight="1" x14ac:dyDescent="0.25">
      <c r="A989" s="150"/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  <c r="M989" s="150"/>
      <c r="N989" s="150"/>
      <c r="O989" s="150"/>
      <c r="P989" s="150"/>
      <c r="Q989" s="150"/>
      <c r="R989" s="150"/>
      <c r="S989" s="150"/>
      <c r="T989" s="150"/>
      <c r="U989" s="150"/>
      <c r="V989" s="150"/>
      <c r="W989" s="150"/>
      <c r="X989" s="150"/>
      <c r="Y989" s="150"/>
      <c r="Z989" s="150"/>
    </row>
    <row r="990" spans="1:26" ht="12.75" customHeight="1" x14ac:dyDescent="0.25">
      <c r="A990" s="150"/>
      <c r="B990" s="150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  <c r="M990" s="150"/>
      <c r="N990" s="150"/>
      <c r="O990" s="150"/>
      <c r="P990" s="150"/>
      <c r="Q990" s="150"/>
      <c r="R990" s="150"/>
      <c r="S990" s="150"/>
      <c r="T990" s="150"/>
      <c r="U990" s="150"/>
      <c r="V990" s="150"/>
      <c r="W990" s="150"/>
      <c r="X990" s="150"/>
      <c r="Y990" s="150"/>
      <c r="Z990" s="150"/>
    </row>
    <row r="991" spans="1:26" ht="12.75" customHeight="1" x14ac:dyDescent="0.25">
      <c r="A991" s="150"/>
      <c r="B991" s="150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</row>
    <row r="992" spans="1:26" ht="12.75" customHeight="1" x14ac:dyDescent="0.25">
      <c r="A992" s="150"/>
      <c r="B992" s="150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</row>
    <row r="993" spans="1:26" ht="12.75" customHeight="1" x14ac:dyDescent="0.25">
      <c r="A993" s="150"/>
      <c r="B993" s="150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</row>
    <row r="994" spans="1:26" ht="12.75" customHeight="1" x14ac:dyDescent="0.25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  <c r="M994" s="150"/>
      <c r="N994" s="150"/>
      <c r="O994" s="150"/>
      <c r="P994" s="150"/>
      <c r="Q994" s="150"/>
      <c r="R994" s="150"/>
      <c r="S994" s="150"/>
      <c r="T994" s="150"/>
      <c r="U994" s="150"/>
      <c r="V994" s="150"/>
      <c r="W994" s="150"/>
      <c r="X994" s="150"/>
      <c r="Y994" s="150"/>
      <c r="Z994" s="150"/>
    </row>
    <row r="995" spans="1:26" ht="12.75" customHeight="1" x14ac:dyDescent="0.25">
      <c r="A995" s="150"/>
      <c r="B995" s="150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</row>
    <row r="996" spans="1:26" ht="12.75" customHeight="1" x14ac:dyDescent="0.25">
      <c r="A996" s="150"/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</row>
    <row r="997" spans="1:26" ht="12.75" customHeight="1" x14ac:dyDescent="0.25">
      <c r="A997" s="150"/>
      <c r="B997" s="150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</row>
    <row r="998" spans="1:26" ht="12.75" customHeight="1" x14ac:dyDescent="0.25">
      <c r="A998" s="150"/>
      <c r="B998" s="150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  <c r="M998" s="150"/>
      <c r="N998" s="150"/>
      <c r="O998" s="150"/>
      <c r="P998" s="150"/>
      <c r="Q998" s="150"/>
      <c r="R998" s="150"/>
      <c r="S998" s="150"/>
      <c r="T998" s="150"/>
      <c r="U998" s="150"/>
      <c r="V998" s="150"/>
      <c r="W998" s="150"/>
      <c r="X998" s="150"/>
      <c r="Y998" s="150"/>
      <c r="Z998" s="150"/>
    </row>
    <row r="999" spans="1:26" ht="12.75" customHeight="1" x14ac:dyDescent="0.25">
      <c r="A999" s="150"/>
      <c r="B999" s="150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  <c r="M999" s="150"/>
      <c r="N999" s="150"/>
      <c r="O999" s="150"/>
      <c r="P999" s="150"/>
      <c r="Q999" s="150"/>
      <c r="R999" s="150"/>
      <c r="S999" s="150"/>
      <c r="T999" s="150"/>
      <c r="U999" s="150"/>
      <c r="V999" s="150"/>
      <c r="W999" s="150"/>
      <c r="X999" s="150"/>
      <c r="Y999" s="150"/>
      <c r="Z999" s="150"/>
    </row>
    <row r="1000" spans="1:26" ht="12.75" customHeight="1" x14ac:dyDescent="0.25">
      <c r="A1000" s="150"/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  <c r="M1000" s="150"/>
      <c r="N1000" s="150"/>
      <c r="O1000" s="150"/>
      <c r="P1000" s="150"/>
      <c r="Q1000" s="150"/>
      <c r="R1000" s="150"/>
      <c r="S1000" s="150"/>
      <c r="T1000" s="150"/>
      <c r="U1000" s="150"/>
      <c r="V1000" s="150"/>
      <c r="W1000" s="150"/>
      <c r="X1000" s="150"/>
      <c r="Y1000" s="150"/>
      <c r="Z1000" s="150"/>
    </row>
  </sheetData>
  <customSheetViews>
    <customSheetView guid="{106B7A88-9D1E-4D22-9DE1-7E44A908E830}" showGridLines="0" fitToPage="1">
      <selection activeCell="G8" sqref="G8"/>
      <pageMargins left="0.7" right="0.7" top="0.75" bottom="0.75" header="0.3" footer="0.3"/>
      <pageSetup paperSize="9" scale="57" fitToHeight="0" orientation="landscape" r:id="rId1"/>
    </customSheetView>
    <customSheetView guid="{CF50DB9B-0F8D-41A5-9576-F9345942CE97}" showGridLines="0" topLeftCell="B1">
      <selection activeCell="D4" sqref="D4:F4"/>
      <pageMargins left="0.7" right="0.7" top="0.75" bottom="0.75" header="0.3" footer="0.3"/>
    </customSheetView>
    <customSheetView guid="{B8CD8764-8103-4BA7-A294-F5FED5EA74ED}" showGridLines="0" topLeftCell="B1">
      <selection activeCell="D4" sqref="D4:F4"/>
      <pageMargins left="0.7" right="0.7" top="0.75" bottom="0.75" header="0.3" footer="0.3"/>
    </customSheetView>
    <customSheetView guid="{845F3A43-EF96-4057-9777-D2F2301CC149}" showPageBreaks="1" showGridLines="0" fitToPage="1">
      <selection activeCell="G8" sqref="G8"/>
      <pageMargins left="0.7" right="0.7" top="0.75" bottom="0.75" header="0.3" footer="0.3"/>
      <pageSetup paperSize="9" scale="57" fitToHeight="0" orientation="landscape" r:id="rId2"/>
    </customSheetView>
  </customSheetViews>
  <mergeCells count="1">
    <mergeCell ref="A1:D1"/>
  </mergeCells>
  <pageMargins left="0.7" right="0.7" top="0.75" bottom="0.75" header="0.3" footer="0.3"/>
  <pageSetup paperSize="9" scale="57" fitToHeight="0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20"/>
  <sheetViews>
    <sheetView showGridLines="0" zoomScaleNormal="100" workbookViewId="0">
      <selection activeCell="E1" sqref="E1"/>
    </sheetView>
  </sheetViews>
  <sheetFormatPr baseColWidth="10" defaultColWidth="17.26953125" defaultRowHeight="15" customHeight="1" x14ac:dyDescent="0.25"/>
  <cols>
    <col min="1" max="1" width="56" customWidth="1"/>
    <col min="2" max="2" width="12.54296875" customWidth="1"/>
    <col min="3" max="3" width="38.1796875" bestFit="1" customWidth="1"/>
    <col min="4" max="4" width="37.81640625" bestFit="1" customWidth="1"/>
    <col min="5" max="5" width="24.7265625" customWidth="1"/>
    <col min="6" max="6" width="20.7265625" customWidth="1"/>
    <col min="7" max="7" width="12.54296875" customWidth="1"/>
    <col min="8" max="8" width="29.1796875" hidden="1" customWidth="1"/>
    <col min="9" max="9" width="17.7265625" hidden="1" customWidth="1"/>
    <col min="10" max="10" width="15.7265625" hidden="1" customWidth="1"/>
    <col min="11" max="11" width="16.453125" hidden="1" customWidth="1"/>
    <col min="12" max="12" width="17.26953125" hidden="1" customWidth="1"/>
    <col min="13" max="13" width="15.7265625" customWidth="1"/>
    <col min="14" max="21" width="12.54296875" customWidth="1"/>
    <col min="22" max="26" width="10" customWidth="1"/>
  </cols>
  <sheetData>
    <row r="1" spans="1:26" ht="14.5" x14ac:dyDescent="0.35">
      <c r="A1" s="74"/>
      <c r="B1" s="74"/>
      <c r="C1" s="75"/>
      <c r="D1" s="75"/>
      <c r="G1" t="s">
        <v>763</v>
      </c>
      <c r="H1" s="433"/>
      <c r="I1" s="433" t="s">
        <v>682</v>
      </c>
      <c r="J1" s="433" t="s">
        <v>683</v>
      </c>
      <c r="K1" s="532" t="s">
        <v>684</v>
      </c>
      <c r="L1" s="75"/>
      <c r="M1" s="75"/>
      <c r="N1" s="75"/>
      <c r="O1" s="75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</row>
    <row r="2" spans="1:26" ht="14.5" x14ac:dyDescent="0.35">
      <c r="A2" s="76" t="s">
        <v>117</v>
      </c>
      <c r="B2" s="77"/>
      <c r="C2" s="78"/>
      <c r="D2" s="75"/>
      <c r="H2" s="532" t="s">
        <v>658</v>
      </c>
      <c r="I2" s="532">
        <f>1599.12</f>
        <v>1599.12</v>
      </c>
      <c r="J2" s="532">
        <f>I2/4</f>
        <v>399.78</v>
      </c>
      <c r="K2" s="532">
        <f>J2/28</f>
        <v>14.277857142857142</v>
      </c>
      <c r="L2" s="531">
        <f>B7</f>
        <v>399.78</v>
      </c>
      <c r="M2" s="75"/>
      <c r="N2" s="75"/>
      <c r="O2" s="75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</row>
    <row r="3" spans="1:26" ht="14.5" x14ac:dyDescent="0.35">
      <c r="A3" s="79" t="s">
        <v>118</v>
      </c>
      <c r="B3" s="352">
        <v>11.5</v>
      </c>
      <c r="C3" s="80"/>
      <c r="D3" s="75"/>
      <c r="H3" s="532" t="s">
        <v>363</v>
      </c>
      <c r="I3" s="532">
        <f>1335.02</f>
        <v>1335.02</v>
      </c>
      <c r="J3" s="532">
        <f>I3/4</f>
        <v>333.755</v>
      </c>
      <c r="K3" s="532">
        <f>J3/23</f>
        <v>14.511086956521739</v>
      </c>
      <c r="L3" s="75"/>
      <c r="M3" s="75"/>
      <c r="N3" s="75"/>
      <c r="O3" s="75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</row>
    <row r="4" spans="1:26" ht="14.5" x14ac:dyDescent="0.35">
      <c r="A4" s="81" t="s">
        <v>119</v>
      </c>
      <c r="B4" s="353">
        <v>11.5</v>
      </c>
      <c r="C4" s="78"/>
      <c r="D4" s="75"/>
      <c r="H4" s="532" t="s">
        <v>279</v>
      </c>
      <c r="I4" s="532"/>
      <c r="J4" s="532">
        <f>393.76</f>
        <v>393.76</v>
      </c>
      <c r="K4" s="532">
        <f>J4/28</f>
        <v>14.062857142857142</v>
      </c>
      <c r="L4" s="75"/>
      <c r="M4" s="75"/>
      <c r="N4" s="75"/>
      <c r="O4" s="75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</row>
    <row r="5" spans="1:26" ht="14.5" x14ac:dyDescent="0.35">
      <c r="A5" s="82"/>
      <c r="B5" s="82"/>
      <c r="C5" s="74"/>
      <c r="D5" s="74"/>
      <c r="H5" s="532" t="s">
        <v>685</v>
      </c>
      <c r="I5" s="532">
        <v>771.53</v>
      </c>
      <c r="J5" s="532">
        <f>I5/6</f>
        <v>128.58833333333334</v>
      </c>
      <c r="K5" s="532">
        <f>J5/8</f>
        <v>16.073541666666667</v>
      </c>
      <c r="L5" s="75"/>
      <c r="M5" s="75"/>
      <c r="N5" s="75"/>
      <c r="O5" s="75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14.5" x14ac:dyDescent="0.35">
      <c r="A6" s="76" t="s">
        <v>120</v>
      </c>
      <c r="B6" s="83"/>
      <c r="C6" s="83" t="s">
        <v>121</v>
      </c>
      <c r="D6" s="77"/>
      <c r="E6" s="78"/>
      <c r="F6" s="84"/>
      <c r="G6" s="75"/>
      <c r="H6" s="532" t="s">
        <v>686</v>
      </c>
      <c r="I6" s="532">
        <f>1326.12</f>
        <v>1326.12</v>
      </c>
      <c r="J6" s="532">
        <f>I6/6</f>
        <v>221.01999999999998</v>
      </c>
      <c r="K6" s="532">
        <f>J6/15</f>
        <v>14.734666666666666</v>
      </c>
      <c r="L6" s="75"/>
      <c r="M6" s="75"/>
      <c r="N6" s="75"/>
      <c r="O6" s="75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4.5" x14ac:dyDescent="0.35">
      <c r="A7" s="532" t="s">
        <v>692</v>
      </c>
      <c r="B7" s="579">
        <v>399.78</v>
      </c>
      <c r="C7" s="85" t="s">
        <v>703</v>
      </c>
      <c r="D7" s="86"/>
      <c r="E7" s="671" t="s">
        <v>123</v>
      </c>
      <c r="F7" s="672"/>
      <c r="G7" s="672"/>
      <c r="H7" s="532" t="s">
        <v>687</v>
      </c>
      <c r="I7" s="433"/>
      <c r="J7" s="532">
        <f>125.31</f>
        <v>125.31</v>
      </c>
      <c r="K7" s="532">
        <f>J7/8</f>
        <v>15.66375</v>
      </c>
      <c r="L7" s="75"/>
      <c r="M7" s="75"/>
      <c r="N7" s="75"/>
      <c r="O7" s="75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s="529" customFormat="1" ht="14.5" x14ac:dyDescent="0.35">
      <c r="A8" s="532" t="s">
        <v>693</v>
      </c>
      <c r="B8" s="579">
        <v>333.755</v>
      </c>
      <c r="C8" s="85" t="s">
        <v>703</v>
      </c>
      <c r="D8" s="86"/>
      <c r="E8" s="673"/>
      <c r="F8" s="662"/>
      <c r="G8" s="662"/>
      <c r="H8" s="532"/>
      <c r="I8" s="433"/>
      <c r="J8" s="532"/>
      <c r="K8" s="532"/>
      <c r="L8" s="75"/>
      <c r="M8" s="75"/>
      <c r="N8" s="75"/>
      <c r="O8" s="75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</row>
    <row r="9" spans="1:26" s="529" customFormat="1" ht="14.5" x14ac:dyDescent="0.35">
      <c r="A9" s="532" t="s">
        <v>694</v>
      </c>
      <c r="B9" s="579">
        <v>393.76</v>
      </c>
      <c r="C9" s="85" t="s">
        <v>703</v>
      </c>
      <c r="D9" s="86"/>
      <c r="E9" s="673"/>
      <c r="F9" s="662"/>
      <c r="G9" s="662"/>
      <c r="H9" s="532"/>
      <c r="I9" s="433"/>
      <c r="J9" s="532"/>
      <c r="K9" s="532"/>
      <c r="L9" s="75"/>
      <c r="M9" s="75"/>
      <c r="N9" s="75"/>
      <c r="O9" s="75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</row>
    <row r="10" spans="1:26" s="529" customFormat="1" ht="14.5" x14ac:dyDescent="0.35">
      <c r="A10" s="532" t="s">
        <v>695</v>
      </c>
      <c r="B10" s="579">
        <v>128.58833333333334</v>
      </c>
      <c r="C10" s="85" t="s">
        <v>703</v>
      </c>
      <c r="D10" s="86"/>
      <c r="E10" s="673"/>
      <c r="F10" s="662"/>
      <c r="G10" s="662"/>
      <c r="H10" s="532" t="s">
        <v>688</v>
      </c>
      <c r="I10" s="532"/>
      <c r="J10" s="532">
        <v>216.81</v>
      </c>
      <c r="K10" s="532">
        <f>J10/15</f>
        <v>14.454000000000001</v>
      </c>
      <c r="L10" s="75"/>
      <c r="M10" s="75"/>
      <c r="N10" s="75"/>
      <c r="O10" s="75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</row>
    <row r="11" spans="1:26" s="529" customFormat="1" ht="14.5" x14ac:dyDescent="0.35">
      <c r="A11" s="532" t="s">
        <v>696</v>
      </c>
      <c r="B11" s="579">
        <v>221.01999999999998</v>
      </c>
      <c r="C11" s="85" t="s">
        <v>703</v>
      </c>
      <c r="D11" s="86"/>
      <c r="E11" s="673"/>
      <c r="F11" s="662"/>
      <c r="G11" s="662"/>
      <c r="H11" s="532"/>
      <c r="I11" s="532"/>
      <c r="J11" s="532"/>
      <c r="K11" s="532"/>
      <c r="L11" s="75"/>
      <c r="M11" s="75"/>
      <c r="N11" s="75"/>
      <c r="O11" s="75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s="529" customFormat="1" ht="14.5" x14ac:dyDescent="0.35">
      <c r="A12" s="532" t="s">
        <v>697</v>
      </c>
      <c r="B12" s="579">
        <v>125.31</v>
      </c>
      <c r="C12" s="85" t="s">
        <v>703</v>
      </c>
      <c r="D12" s="86"/>
      <c r="E12" s="673"/>
      <c r="F12" s="662"/>
      <c r="G12" s="662"/>
      <c r="H12" s="532"/>
      <c r="I12" s="532"/>
      <c r="J12" s="532"/>
      <c r="K12" s="532"/>
      <c r="L12" s="75"/>
      <c r="M12" s="75"/>
      <c r="N12" s="75"/>
      <c r="O12" s="75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s="529" customFormat="1" ht="14.5" x14ac:dyDescent="0.35">
      <c r="A13" s="532" t="s">
        <v>698</v>
      </c>
      <c r="B13" s="579">
        <v>216.81</v>
      </c>
      <c r="C13" s="85" t="s">
        <v>703</v>
      </c>
      <c r="D13" s="86"/>
      <c r="E13" s="673"/>
      <c r="F13" s="662"/>
      <c r="G13" s="662"/>
      <c r="H13" s="532"/>
      <c r="I13" s="532"/>
      <c r="J13" s="532"/>
      <c r="K13" s="532"/>
      <c r="L13" s="75"/>
      <c r="M13" s="75"/>
      <c r="N13" s="75"/>
      <c r="O13" s="75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s="529" customFormat="1" ht="14.5" x14ac:dyDescent="0.35">
      <c r="A14" s="532" t="s">
        <v>699</v>
      </c>
      <c r="B14" s="579">
        <v>301.33999999999997</v>
      </c>
      <c r="C14" s="85" t="s">
        <v>703</v>
      </c>
      <c r="D14" s="86"/>
      <c r="E14" s="673"/>
      <c r="F14" s="662"/>
      <c r="G14" s="662"/>
      <c r="H14" s="532"/>
      <c r="I14" s="532"/>
      <c r="J14" s="532"/>
      <c r="K14" s="532"/>
      <c r="L14" s="75"/>
      <c r="M14" s="75"/>
      <c r="N14" s="75"/>
      <c r="O14" s="75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s="529" customFormat="1" ht="14.5" x14ac:dyDescent="0.35">
      <c r="A15" s="532" t="s">
        <v>700</v>
      </c>
      <c r="B15" s="579">
        <v>135.03</v>
      </c>
      <c r="C15" s="85" t="s">
        <v>703</v>
      </c>
      <c r="D15" s="86"/>
      <c r="E15" s="673"/>
      <c r="F15" s="662"/>
      <c r="G15" s="662"/>
      <c r="H15" s="532" t="s">
        <v>186</v>
      </c>
      <c r="I15" s="532"/>
      <c r="J15" s="532">
        <f>301.34</f>
        <v>301.33999999999997</v>
      </c>
      <c r="K15" s="532">
        <f>J15/21</f>
        <v>14.349523809523808</v>
      </c>
      <c r="L15" s="75"/>
      <c r="M15" s="75"/>
      <c r="N15" s="75"/>
      <c r="O15" s="75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s="529" customFormat="1" ht="14.5" x14ac:dyDescent="0.35">
      <c r="A16" s="532" t="s">
        <v>701</v>
      </c>
      <c r="B16" s="579">
        <v>171.08</v>
      </c>
      <c r="C16" s="85" t="s">
        <v>703</v>
      </c>
      <c r="D16" s="86"/>
      <c r="E16" s="673"/>
      <c r="F16" s="662"/>
      <c r="G16" s="662"/>
      <c r="H16" s="532" t="s">
        <v>689</v>
      </c>
      <c r="I16" s="532"/>
      <c r="J16" s="532">
        <f>135.03</f>
        <v>135.03</v>
      </c>
      <c r="K16" s="532">
        <f>J16/16</f>
        <v>8.4393750000000001</v>
      </c>
      <c r="L16" s="75"/>
      <c r="M16" s="75"/>
      <c r="N16" s="75"/>
      <c r="O16" s="75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</row>
    <row r="17" spans="1:26" s="529" customFormat="1" ht="14.5" x14ac:dyDescent="0.35">
      <c r="A17" s="532" t="s">
        <v>702</v>
      </c>
      <c r="B17" s="579">
        <v>166.57374999999999</v>
      </c>
      <c r="C17" s="85" t="s">
        <v>703</v>
      </c>
      <c r="D17" s="86"/>
      <c r="E17" s="673"/>
      <c r="F17" s="662"/>
      <c r="G17" s="662"/>
      <c r="H17" s="532" t="s">
        <v>690</v>
      </c>
      <c r="I17" s="532"/>
      <c r="J17" s="532">
        <f>171.08</f>
        <v>171.08</v>
      </c>
      <c r="K17" s="532">
        <f>J17/21</f>
        <v>8.1466666666666665</v>
      </c>
      <c r="L17" s="75"/>
      <c r="M17" s="75"/>
      <c r="N17" s="75"/>
      <c r="O17" s="75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</row>
    <row r="18" spans="1:26" s="529" customFormat="1" ht="14.5" x14ac:dyDescent="0.35">
      <c r="A18" s="79"/>
      <c r="B18" s="614"/>
      <c r="C18" s="85"/>
      <c r="D18" s="86"/>
      <c r="E18" s="673"/>
      <c r="F18" s="662"/>
      <c r="G18" s="662"/>
      <c r="H18" s="532" t="s">
        <v>691</v>
      </c>
      <c r="I18" s="532">
        <f>1332.59</f>
        <v>1332.59</v>
      </c>
      <c r="J18" s="532">
        <f>I18/8</f>
        <v>166.57374999999999</v>
      </c>
      <c r="K18" s="532"/>
      <c r="L18" s="75"/>
      <c r="M18" s="75"/>
      <c r="N18" s="75"/>
      <c r="O18" s="75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4.5" x14ac:dyDescent="0.35">
      <c r="A19" s="79" t="s">
        <v>129</v>
      </c>
      <c r="B19" s="615">
        <f>92.91</f>
        <v>92.91</v>
      </c>
      <c r="C19" s="85" t="s">
        <v>130</v>
      </c>
      <c r="D19" s="86"/>
      <c r="E19" s="674"/>
      <c r="F19" s="675"/>
      <c r="G19" s="662"/>
      <c r="L19" s="75"/>
      <c r="M19" s="75"/>
      <c r="N19" s="75"/>
      <c r="O19" s="75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14.5" x14ac:dyDescent="0.35">
      <c r="A20" s="258" t="s">
        <v>131</v>
      </c>
      <c r="B20" s="616">
        <f>106.09</f>
        <v>106.09</v>
      </c>
      <c r="C20" s="85" t="s">
        <v>132</v>
      </c>
      <c r="D20" s="86"/>
      <c r="E20" s="676"/>
      <c r="F20" s="664"/>
      <c r="G20" s="668"/>
      <c r="H20" s="75"/>
      <c r="I20" s="75"/>
      <c r="J20" s="75"/>
      <c r="K20" s="75"/>
      <c r="L20" s="75"/>
      <c r="M20" s="75"/>
      <c r="N20" s="75"/>
      <c r="O20" s="75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4.5" x14ac:dyDescent="0.35">
      <c r="A21" s="79" t="s">
        <v>133</v>
      </c>
      <c r="B21" s="616">
        <f>53.04</f>
        <v>53.04</v>
      </c>
      <c r="C21" s="85" t="s">
        <v>134</v>
      </c>
      <c r="D21" s="86"/>
      <c r="E21" s="90"/>
      <c r="F21" s="91"/>
      <c r="G21" s="91"/>
      <c r="H21" s="75"/>
      <c r="I21" s="75"/>
      <c r="J21" s="75"/>
      <c r="K21" s="75"/>
      <c r="L21" s="75"/>
      <c r="M21" s="75"/>
      <c r="N21" s="75"/>
      <c r="O21" s="75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</row>
    <row r="22" spans="1:26" ht="14.5" x14ac:dyDescent="0.35">
      <c r="A22" s="79" t="s">
        <v>135</v>
      </c>
      <c r="B22" s="617">
        <v>5</v>
      </c>
      <c r="C22" s="85" t="s">
        <v>128</v>
      </c>
      <c r="D22" s="86"/>
      <c r="E22" s="78"/>
      <c r="F22" s="84"/>
      <c r="G22" s="75"/>
      <c r="H22" s="75"/>
      <c r="I22" s="75"/>
      <c r="J22" s="75"/>
      <c r="K22" s="75"/>
      <c r="L22" s="75"/>
      <c r="M22" s="75"/>
      <c r="N22" s="75"/>
      <c r="O22" s="75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</row>
    <row r="23" spans="1:26" ht="14.5" x14ac:dyDescent="0.35">
      <c r="A23" s="79" t="s">
        <v>136</v>
      </c>
      <c r="B23" s="617">
        <v>4</v>
      </c>
      <c r="C23" s="85" t="s">
        <v>128</v>
      </c>
      <c r="D23" s="86"/>
      <c r="E23" s="78"/>
      <c r="F23" s="84"/>
      <c r="G23" s="75"/>
      <c r="H23" s="75"/>
      <c r="I23" s="75"/>
      <c r="J23" s="75"/>
      <c r="K23" s="75"/>
      <c r="L23" s="75"/>
      <c r="M23" s="75"/>
      <c r="N23" s="75"/>
      <c r="O23" s="75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4.5" x14ac:dyDescent="0.35">
      <c r="A24" s="79" t="s">
        <v>137</v>
      </c>
      <c r="B24" s="617">
        <v>3</v>
      </c>
      <c r="C24" s="85" t="s">
        <v>128</v>
      </c>
      <c r="D24" s="86"/>
      <c r="E24" s="78"/>
      <c r="F24" s="84"/>
      <c r="G24" s="75"/>
      <c r="H24" s="75"/>
      <c r="I24" s="75"/>
      <c r="J24" s="75"/>
      <c r="K24" s="75"/>
      <c r="L24" s="75"/>
      <c r="M24" s="75"/>
      <c r="N24" s="75"/>
      <c r="O24" s="75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</row>
    <row r="25" spans="1:26" ht="14.5" x14ac:dyDescent="0.35">
      <c r="A25" s="79" t="s">
        <v>138</v>
      </c>
      <c r="B25" s="618">
        <f>690*1.05</f>
        <v>724.5</v>
      </c>
      <c r="C25" s="85" t="s">
        <v>139</v>
      </c>
      <c r="D25" s="86" t="s">
        <v>140</v>
      </c>
      <c r="E25" s="78"/>
      <c r="F25" s="84"/>
      <c r="G25" s="75"/>
      <c r="H25" s="75"/>
      <c r="I25" s="75"/>
      <c r="J25" s="75"/>
      <c r="K25" s="75"/>
      <c r="L25" s="75"/>
      <c r="M25" s="75"/>
      <c r="N25" s="75"/>
      <c r="O25" s="75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</row>
    <row r="26" spans="1:26" ht="14.5" x14ac:dyDescent="0.35">
      <c r="A26" s="79" t="s">
        <v>141</v>
      </c>
      <c r="B26" s="619">
        <v>50</v>
      </c>
      <c r="C26" s="85" t="s">
        <v>139</v>
      </c>
      <c r="D26" s="86" t="s">
        <v>140</v>
      </c>
      <c r="E26" s="78"/>
      <c r="F26" s="84"/>
      <c r="G26" s="75"/>
      <c r="H26" s="75"/>
      <c r="I26" s="75"/>
      <c r="J26" s="75"/>
      <c r="K26" s="75"/>
      <c r="L26" s="75"/>
      <c r="M26" s="75"/>
      <c r="N26" s="75"/>
      <c r="O26" s="75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4.5" x14ac:dyDescent="0.35">
      <c r="A27" s="79" t="s">
        <v>142</v>
      </c>
      <c r="B27" s="619">
        <v>600</v>
      </c>
      <c r="C27" s="85" t="s">
        <v>139</v>
      </c>
      <c r="D27" s="86" t="s">
        <v>140</v>
      </c>
      <c r="E27" s="78"/>
      <c r="F27" s="84"/>
      <c r="G27" s="75"/>
      <c r="H27" s="75"/>
      <c r="I27" s="75"/>
      <c r="J27" s="75"/>
      <c r="K27" s="75"/>
      <c r="L27" s="75"/>
      <c r="M27" s="75"/>
      <c r="N27" s="75"/>
      <c r="O27" s="75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</row>
    <row r="28" spans="1:26" ht="14.5" x14ac:dyDescent="0.35">
      <c r="A28" s="79" t="s">
        <v>143</v>
      </c>
      <c r="B28" s="629">
        <v>700</v>
      </c>
      <c r="C28" s="85" t="s">
        <v>139</v>
      </c>
      <c r="D28" s="86" t="s">
        <v>144</v>
      </c>
      <c r="E28" s="78"/>
      <c r="F28" s="84"/>
      <c r="G28" s="75"/>
      <c r="H28" s="75"/>
      <c r="I28" s="75"/>
      <c r="J28" s="75"/>
      <c r="K28" s="75"/>
      <c r="L28" s="75"/>
      <c r="M28" s="75"/>
      <c r="N28" s="75"/>
      <c r="O28" s="75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</row>
    <row r="29" spans="1:26" ht="14.5" x14ac:dyDescent="0.35">
      <c r="A29" s="258" t="s">
        <v>511</v>
      </c>
      <c r="B29" s="629">
        <v>1300</v>
      </c>
      <c r="C29" s="85" t="s">
        <v>139</v>
      </c>
      <c r="D29" s="86" t="s">
        <v>146</v>
      </c>
      <c r="E29" s="78"/>
      <c r="F29" s="84"/>
      <c r="G29" s="75"/>
      <c r="H29" s="75"/>
      <c r="I29" s="75"/>
      <c r="J29" s="75"/>
      <c r="K29" s="75"/>
      <c r="L29" s="75"/>
      <c r="M29" s="75"/>
      <c r="N29" s="75"/>
      <c r="O29" s="75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4.5" x14ac:dyDescent="0.35">
      <c r="A30" s="79" t="s">
        <v>147</v>
      </c>
      <c r="B30" s="629">
        <v>900</v>
      </c>
      <c r="C30" s="85" t="s">
        <v>139</v>
      </c>
      <c r="D30" s="86" t="s">
        <v>144</v>
      </c>
      <c r="E30" s="78"/>
      <c r="F30" s="84"/>
      <c r="G30" s="75"/>
      <c r="H30" s="75"/>
      <c r="I30" s="75"/>
      <c r="J30" s="75"/>
      <c r="K30" s="75"/>
      <c r="L30" s="75"/>
      <c r="M30" s="75"/>
      <c r="N30" s="75"/>
      <c r="O30" s="75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</row>
    <row r="31" spans="1:26" ht="14.5" x14ac:dyDescent="0.35">
      <c r="A31" s="79" t="s">
        <v>521</v>
      </c>
      <c r="B31" s="629">
        <v>1450</v>
      </c>
      <c r="C31" s="85" t="s">
        <v>139</v>
      </c>
      <c r="D31" s="86" t="s">
        <v>144</v>
      </c>
      <c r="E31" s="78"/>
      <c r="F31" s="84"/>
      <c r="G31" s="75"/>
      <c r="H31" s="75"/>
      <c r="I31" s="75"/>
      <c r="J31" s="75"/>
      <c r="K31" s="75"/>
      <c r="L31" s="75"/>
      <c r="M31" s="75"/>
      <c r="N31" s="75"/>
      <c r="O31" s="75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</row>
    <row r="32" spans="1:26" ht="14.5" x14ac:dyDescent="0.35">
      <c r="A32" s="79" t="s">
        <v>149</v>
      </c>
      <c r="B32" s="629">
        <v>600</v>
      </c>
      <c r="C32" s="85" t="s">
        <v>139</v>
      </c>
      <c r="D32" s="86" t="s">
        <v>144</v>
      </c>
      <c r="E32" s="78"/>
      <c r="F32" s="84"/>
      <c r="G32" s="75"/>
      <c r="H32" s="75"/>
      <c r="I32" s="75"/>
      <c r="J32" s="75"/>
      <c r="K32" s="75"/>
      <c r="L32" s="75"/>
      <c r="M32" s="75"/>
      <c r="N32" s="75"/>
      <c r="O32" s="75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</row>
    <row r="33" spans="1:26" s="451" customFormat="1" ht="14.5" x14ac:dyDescent="0.35">
      <c r="A33" s="79" t="s">
        <v>645</v>
      </c>
      <c r="B33" s="629">
        <v>0</v>
      </c>
      <c r="C33" s="85" t="s">
        <v>139</v>
      </c>
      <c r="D33" s="86" t="s">
        <v>144</v>
      </c>
      <c r="E33" s="78"/>
      <c r="F33" s="84"/>
      <c r="G33" s="75"/>
      <c r="H33" s="75"/>
      <c r="I33" s="75"/>
      <c r="J33" s="75"/>
      <c r="K33" s="75"/>
      <c r="L33" s="75"/>
      <c r="M33" s="75"/>
      <c r="N33" s="75"/>
      <c r="O33" s="75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26" ht="14.5" x14ac:dyDescent="0.35">
      <c r="A34" s="79" t="s">
        <v>150</v>
      </c>
      <c r="B34" s="620">
        <v>400</v>
      </c>
      <c r="C34" s="85" t="s">
        <v>139</v>
      </c>
      <c r="D34" s="86" t="s">
        <v>144</v>
      </c>
      <c r="E34" s="78"/>
      <c r="F34" s="84"/>
      <c r="G34" s="97"/>
      <c r="H34" s="97"/>
      <c r="I34" s="97"/>
      <c r="J34" s="75"/>
      <c r="K34" s="75"/>
      <c r="L34" s="75"/>
      <c r="M34" s="75"/>
      <c r="N34" s="75"/>
      <c r="O34" s="75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</row>
    <row r="35" spans="1:26" ht="14.5" x14ac:dyDescent="0.35">
      <c r="A35" s="258" t="s">
        <v>646</v>
      </c>
      <c r="B35" s="620">
        <v>1600</v>
      </c>
      <c r="C35" s="85" t="s">
        <v>139</v>
      </c>
      <c r="D35" s="86" t="s">
        <v>144</v>
      </c>
      <c r="E35" s="78"/>
      <c r="F35" s="84"/>
      <c r="G35" s="97"/>
      <c r="H35" s="97"/>
      <c r="I35" s="97"/>
      <c r="J35" s="75"/>
      <c r="K35" s="75"/>
      <c r="L35" s="75"/>
      <c r="M35" s="75"/>
      <c r="N35" s="75"/>
      <c r="O35" s="75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</row>
    <row r="36" spans="1:26" ht="14.5" x14ac:dyDescent="0.35">
      <c r="A36" s="219" t="s">
        <v>152</v>
      </c>
      <c r="B36" s="620">
        <v>1500</v>
      </c>
      <c r="C36" s="85"/>
      <c r="D36" s="86"/>
      <c r="E36" s="78"/>
      <c r="F36" s="84"/>
      <c r="G36" s="97"/>
      <c r="H36" s="97"/>
      <c r="I36" s="97"/>
      <c r="J36" s="75"/>
      <c r="K36" s="75"/>
      <c r="L36" s="75"/>
      <c r="M36" s="75"/>
      <c r="N36" s="75"/>
      <c r="O36" s="75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</row>
    <row r="37" spans="1:26" ht="14.5" x14ac:dyDescent="0.35">
      <c r="A37" s="258" t="s">
        <v>510</v>
      </c>
      <c r="B37" s="620">
        <v>1800</v>
      </c>
      <c r="C37" s="85" t="s">
        <v>139</v>
      </c>
      <c r="D37" s="86" t="s">
        <v>144</v>
      </c>
      <c r="E37" s="78"/>
      <c r="F37" s="84"/>
      <c r="G37" s="97"/>
      <c r="H37" s="97"/>
      <c r="I37" s="97"/>
      <c r="J37" s="75"/>
      <c r="K37" s="75"/>
      <c r="L37" s="75"/>
      <c r="M37" s="75"/>
      <c r="N37" s="75"/>
      <c r="O37" s="75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</row>
    <row r="38" spans="1:26" ht="14.5" x14ac:dyDescent="0.35">
      <c r="A38" s="258" t="s">
        <v>154</v>
      </c>
      <c r="B38" s="622">
        <f>((B121+C121)*D121)+((B114+C114)*D114)+(Program!F36/'Oversikt Variabler'!B66)+(B123+C123)</f>
        <v>3551.7241379310344</v>
      </c>
      <c r="C38" s="549" t="s">
        <v>139</v>
      </c>
      <c r="D38" s="558" t="s">
        <v>144</v>
      </c>
      <c r="E38" s="535"/>
      <c r="F38" s="536"/>
      <c r="G38" s="537"/>
      <c r="H38" s="97"/>
      <c r="I38" s="97"/>
      <c r="J38" s="75"/>
      <c r="K38" s="75"/>
      <c r="L38" s="75"/>
      <c r="M38" s="75"/>
      <c r="N38" s="75"/>
      <c r="O38" s="75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</row>
    <row r="39" spans="1:26" ht="14.5" x14ac:dyDescent="0.35">
      <c r="A39" s="624"/>
      <c r="B39" s="625"/>
      <c r="C39" s="625"/>
      <c r="D39" s="626"/>
      <c r="E39" s="539"/>
      <c r="F39" s="539"/>
      <c r="G39" s="537"/>
      <c r="H39" s="97"/>
      <c r="I39" s="97"/>
      <c r="J39" s="75"/>
      <c r="K39" s="75"/>
      <c r="L39" s="75"/>
      <c r="M39" s="75"/>
      <c r="N39" s="75"/>
      <c r="O39" s="75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</row>
    <row r="40" spans="1:26" ht="14.5" x14ac:dyDescent="0.35">
      <c r="A40" s="623" t="s">
        <v>590</v>
      </c>
      <c r="B40" s="621"/>
      <c r="C40" s="337"/>
      <c r="D40" s="337"/>
      <c r="E40" s="540"/>
      <c r="F40" s="540"/>
      <c r="G40" s="541"/>
      <c r="H40" s="97"/>
      <c r="I40" s="97"/>
      <c r="J40" s="75"/>
      <c r="K40" s="75"/>
      <c r="L40" s="75"/>
      <c r="M40" s="75"/>
      <c r="N40" s="75"/>
      <c r="O40" s="75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</row>
    <row r="41" spans="1:26" ht="14.5" x14ac:dyDescent="0.35">
      <c r="A41" s="32"/>
      <c r="B41" s="621"/>
      <c r="C41" s="542" t="s">
        <v>155</v>
      </c>
      <c r="D41" s="542" t="s">
        <v>156</v>
      </c>
      <c r="E41" s="543" t="s">
        <v>157</v>
      </c>
      <c r="F41" s="543" t="s">
        <v>158</v>
      </c>
      <c r="G41" s="544"/>
      <c r="H41" s="97"/>
      <c r="I41" s="97"/>
      <c r="J41" s="75"/>
      <c r="K41" s="75"/>
      <c r="L41" s="75"/>
      <c r="M41" s="75"/>
      <c r="N41" s="75"/>
      <c r="O41" s="75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</row>
    <row r="42" spans="1:26" ht="14.5" x14ac:dyDescent="0.35">
      <c r="A42" s="78" t="s">
        <v>159</v>
      </c>
      <c r="B42" s="599">
        <v>47</v>
      </c>
      <c r="C42" s="597">
        <v>7</v>
      </c>
      <c r="D42" s="597">
        <v>15</v>
      </c>
      <c r="E42" s="598">
        <v>7</v>
      </c>
      <c r="F42" s="598">
        <v>18</v>
      </c>
      <c r="G42" s="544"/>
      <c r="H42" s="97"/>
      <c r="I42" s="217"/>
      <c r="J42" s="217"/>
      <c r="K42" s="217"/>
      <c r="L42" s="217"/>
      <c r="M42" s="217"/>
      <c r="N42" s="217"/>
      <c r="O42" s="75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</row>
    <row r="43" spans="1:26" ht="14.5" x14ac:dyDescent="0.35">
      <c r="A43" s="78" t="s">
        <v>160</v>
      </c>
      <c r="B43" s="599">
        <v>31</v>
      </c>
      <c r="C43" s="536"/>
      <c r="D43" s="536"/>
      <c r="E43" s="539"/>
      <c r="F43" s="539"/>
      <c r="G43" s="544"/>
      <c r="H43" s="97"/>
      <c r="I43" s="217"/>
      <c r="J43" s="217"/>
      <c r="K43" s="217"/>
      <c r="L43" s="217"/>
      <c r="M43" s="217"/>
      <c r="N43" s="217"/>
      <c r="O43" s="75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</row>
    <row r="44" spans="1:26" ht="14.5" x14ac:dyDescent="0.35">
      <c r="A44" s="78" t="s">
        <v>161</v>
      </c>
      <c r="B44" s="599">
        <v>4</v>
      </c>
      <c r="C44" s="536"/>
      <c r="D44" s="536"/>
      <c r="E44" s="539"/>
      <c r="F44" s="539"/>
      <c r="G44" s="544"/>
      <c r="H44" s="97"/>
      <c r="I44" s="217"/>
      <c r="J44" s="217"/>
      <c r="K44" s="217"/>
      <c r="L44" s="217"/>
      <c r="M44" s="217"/>
      <c r="N44" s="217"/>
      <c r="O44" s="75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</row>
    <row r="45" spans="1:26" ht="14.5" x14ac:dyDescent="0.35">
      <c r="A45" s="78" t="s">
        <v>569</v>
      </c>
      <c r="B45" s="337">
        <f>B42*5+B43</f>
        <v>266</v>
      </c>
      <c r="C45" s="337"/>
      <c r="D45" s="337"/>
      <c r="E45" s="337"/>
      <c r="F45" s="337"/>
      <c r="G45" s="544"/>
      <c r="H45" s="97"/>
      <c r="I45" s="217"/>
      <c r="J45" s="217"/>
      <c r="K45" s="217"/>
      <c r="L45" s="217"/>
      <c r="M45" s="217"/>
      <c r="N45" s="217"/>
      <c r="O45" s="75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</row>
    <row r="46" spans="1:26" s="348" customFormat="1" ht="14.5" x14ac:dyDescent="0.35">
      <c r="A46" s="32"/>
      <c r="B46" s="337"/>
      <c r="C46" s="337"/>
      <c r="D46" s="337"/>
      <c r="E46" s="337"/>
      <c r="F46" s="337"/>
      <c r="G46" s="544"/>
      <c r="H46" s="97"/>
      <c r="I46" s="217"/>
      <c r="J46" s="217"/>
      <c r="K46" s="217"/>
      <c r="L46" s="217"/>
      <c r="M46" s="217"/>
      <c r="N46" s="217"/>
      <c r="O46" s="75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</row>
    <row r="47" spans="1:26" ht="14.5" x14ac:dyDescent="0.35">
      <c r="A47" s="78" t="s">
        <v>162</v>
      </c>
      <c r="B47" s="600">
        <f>SUM(C47:F47)</f>
        <v>22</v>
      </c>
      <c r="C47" s="545">
        <v>3</v>
      </c>
      <c r="D47" s="545">
        <v>6</v>
      </c>
      <c r="E47" s="546">
        <v>4</v>
      </c>
      <c r="F47" s="546">
        <v>9</v>
      </c>
      <c r="G47" s="544"/>
      <c r="H47" s="97"/>
      <c r="I47" s="97"/>
      <c r="J47" s="75"/>
      <c r="K47" s="75"/>
      <c r="L47" s="75"/>
      <c r="M47" s="75"/>
      <c r="N47" s="75"/>
      <c r="O47" s="75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</row>
    <row r="48" spans="1:26" ht="14.5" x14ac:dyDescent="0.35">
      <c r="A48" s="78" t="s">
        <v>163</v>
      </c>
      <c r="B48" s="600">
        <v>2</v>
      </c>
      <c r="C48" s="547"/>
      <c r="D48" s="547"/>
      <c r="E48" s="548"/>
      <c r="F48" s="548"/>
      <c r="G48" s="544"/>
      <c r="H48" s="97"/>
      <c r="I48" s="217"/>
      <c r="J48" s="217"/>
      <c r="K48" s="217"/>
      <c r="L48" s="217"/>
      <c r="M48" s="217"/>
      <c r="N48" s="217"/>
      <c r="O48" s="75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</row>
    <row r="49" spans="1:26" ht="14.5" x14ac:dyDescent="0.35">
      <c r="A49" s="291" t="s">
        <v>570</v>
      </c>
      <c r="B49" s="536">
        <f>B47*5</f>
        <v>110</v>
      </c>
      <c r="C49" s="536"/>
      <c r="D49" s="536"/>
      <c r="E49" s="539"/>
      <c r="F49" s="539"/>
      <c r="G49" s="544"/>
      <c r="H49" s="97"/>
      <c r="I49" s="217"/>
      <c r="J49" s="217"/>
      <c r="K49" s="217"/>
      <c r="L49" s="217"/>
      <c r="M49" s="217"/>
      <c r="N49" s="217"/>
      <c r="O49" s="75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</row>
    <row r="50" spans="1:26" s="348" customFormat="1" ht="14.5" x14ac:dyDescent="0.35">
      <c r="A50" s="291"/>
      <c r="B50" s="536"/>
      <c r="C50" s="536"/>
      <c r="D50" s="536"/>
      <c r="E50" s="539"/>
      <c r="F50" s="539"/>
      <c r="G50" s="544"/>
      <c r="H50" s="97"/>
      <c r="I50" s="217"/>
      <c r="J50" s="217"/>
      <c r="K50" s="217"/>
      <c r="L50" s="217"/>
      <c r="M50" s="217"/>
      <c r="N50" s="217"/>
      <c r="O50" s="75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</row>
    <row r="51" spans="1:26" ht="14.5" x14ac:dyDescent="0.35">
      <c r="A51" s="78" t="s">
        <v>164</v>
      </c>
      <c r="B51" s="600">
        <v>5</v>
      </c>
      <c r="C51" s="536"/>
      <c r="D51" s="536"/>
      <c r="E51" s="539"/>
      <c r="F51" s="539"/>
      <c r="G51" s="544"/>
      <c r="H51" s="97"/>
      <c r="I51" s="217"/>
      <c r="J51" s="217"/>
      <c r="K51" s="217"/>
      <c r="L51" s="217"/>
      <c r="M51" s="217"/>
      <c r="N51" s="217"/>
      <c r="O51" s="75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</row>
    <row r="52" spans="1:26" ht="14.5" x14ac:dyDescent="0.35">
      <c r="A52" s="291" t="s">
        <v>571</v>
      </c>
      <c r="B52" s="536">
        <f>B51*7</f>
        <v>35</v>
      </c>
      <c r="C52" s="536"/>
      <c r="D52" s="536"/>
      <c r="E52" s="539"/>
      <c r="F52" s="539"/>
      <c r="G52" s="544"/>
      <c r="H52" s="97"/>
      <c r="I52" s="217"/>
      <c r="J52" s="217"/>
      <c r="K52" s="217"/>
      <c r="L52" s="217"/>
      <c r="M52" s="217"/>
      <c r="N52" s="217"/>
      <c r="O52" s="75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</row>
    <row r="53" spans="1:26" s="348" customFormat="1" ht="14.5" x14ac:dyDescent="0.35">
      <c r="A53" s="291"/>
      <c r="B53" s="536"/>
      <c r="C53" s="536"/>
      <c r="D53" s="536"/>
      <c r="E53" s="539"/>
      <c r="F53" s="539"/>
      <c r="G53" s="544"/>
      <c r="H53" s="97"/>
      <c r="I53" s="217"/>
      <c r="J53" s="217"/>
      <c r="K53" s="217"/>
      <c r="L53" s="217"/>
      <c r="M53" s="217"/>
      <c r="N53" s="217"/>
      <c r="O53" s="75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</row>
    <row r="54" spans="1:26" ht="14.5" x14ac:dyDescent="0.35">
      <c r="A54" s="78" t="s">
        <v>165</v>
      </c>
      <c r="B54" s="599">
        <v>5</v>
      </c>
      <c r="C54" s="536"/>
      <c r="D54" s="536"/>
      <c r="E54" s="539"/>
      <c r="F54" s="539"/>
      <c r="G54" s="544"/>
      <c r="H54" s="97"/>
      <c r="I54" s="84"/>
      <c r="J54" s="84"/>
      <c r="K54" s="84"/>
      <c r="L54" s="84"/>
      <c r="M54" s="84"/>
      <c r="N54" s="75"/>
      <c r="O54" s="75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</row>
    <row r="55" spans="1:26" ht="14.5" x14ac:dyDescent="0.35">
      <c r="A55" s="78" t="s">
        <v>166</v>
      </c>
      <c r="B55" s="599">
        <v>6</v>
      </c>
      <c r="C55" s="536"/>
      <c r="D55" s="536"/>
      <c r="E55" s="539"/>
      <c r="F55" s="539"/>
      <c r="G55" s="544"/>
      <c r="H55" s="97"/>
      <c r="I55" s="217"/>
      <c r="J55" s="217"/>
      <c r="K55" s="217"/>
      <c r="L55" s="217"/>
      <c r="M55" s="217"/>
      <c r="N55" s="217"/>
      <c r="O55" s="75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</row>
    <row r="56" spans="1:26" ht="14.5" x14ac:dyDescent="0.35">
      <c r="A56" s="78" t="s">
        <v>167</v>
      </c>
      <c r="B56" s="599">
        <v>3</v>
      </c>
      <c r="C56" s="536"/>
      <c r="D56" s="536"/>
      <c r="E56" s="539"/>
      <c r="F56" s="539"/>
      <c r="G56" s="544"/>
      <c r="H56" s="97"/>
      <c r="I56" s="217"/>
      <c r="J56" s="217"/>
      <c r="K56" s="217"/>
      <c r="L56" s="217"/>
      <c r="M56" s="217"/>
      <c r="N56" s="217"/>
      <c r="O56" s="75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</row>
    <row r="57" spans="1:26" ht="14.5" x14ac:dyDescent="0.35">
      <c r="A57" s="78" t="s">
        <v>168</v>
      </c>
      <c r="B57" s="599">
        <v>2</v>
      </c>
      <c r="C57" s="536"/>
      <c r="D57" s="536"/>
      <c r="E57" s="539"/>
      <c r="F57" s="539"/>
      <c r="G57" s="544"/>
      <c r="H57" s="97"/>
      <c r="I57" s="217"/>
      <c r="J57" s="217"/>
      <c r="K57" s="217"/>
      <c r="L57" s="217"/>
      <c r="M57" s="217"/>
      <c r="N57" s="217"/>
      <c r="O57" s="75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</row>
    <row r="58" spans="1:26" ht="14.5" x14ac:dyDescent="0.35">
      <c r="A58" s="78" t="s">
        <v>169</v>
      </c>
      <c r="B58" s="599">
        <f>9+4</f>
        <v>13</v>
      </c>
      <c r="C58" s="536"/>
      <c r="D58" s="536"/>
      <c r="E58" s="539"/>
      <c r="F58" s="539"/>
      <c r="G58" s="544"/>
      <c r="H58" s="97"/>
      <c r="I58" s="217"/>
      <c r="J58" s="217"/>
      <c r="K58" s="217"/>
      <c r="L58" s="217"/>
      <c r="M58" s="217"/>
      <c r="N58" s="217"/>
      <c r="O58" s="75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</row>
    <row r="59" spans="1:26" ht="14.5" x14ac:dyDescent="0.35">
      <c r="A59" s="78" t="s">
        <v>170</v>
      </c>
      <c r="B59" s="599">
        <v>7</v>
      </c>
      <c r="C59" s="536"/>
      <c r="D59" s="536"/>
      <c r="E59" s="539"/>
      <c r="F59" s="539"/>
      <c r="G59" s="544"/>
      <c r="H59" s="97"/>
      <c r="I59" s="217"/>
      <c r="J59" s="217"/>
      <c r="K59" s="217"/>
      <c r="L59" s="217"/>
      <c r="M59" s="217"/>
      <c r="N59" s="217"/>
      <c r="O59" s="75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</row>
    <row r="60" spans="1:26" ht="14.5" x14ac:dyDescent="0.35">
      <c r="A60" s="611" t="s">
        <v>708</v>
      </c>
      <c r="B60" s="599">
        <v>1</v>
      </c>
      <c r="C60" s="536"/>
      <c r="D60" s="536"/>
      <c r="E60" s="539"/>
      <c r="F60" s="539"/>
      <c r="G60" s="544"/>
      <c r="H60" s="97"/>
      <c r="I60" s="217"/>
      <c r="J60" s="217"/>
      <c r="K60" s="217"/>
      <c r="L60" s="217"/>
      <c r="M60" s="217"/>
      <c r="N60" s="217"/>
      <c r="O60" s="75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</row>
    <row r="61" spans="1:26" s="592" customFormat="1" ht="14.5" x14ac:dyDescent="0.35">
      <c r="A61" s="611" t="s">
        <v>709</v>
      </c>
      <c r="B61" s="599">
        <v>1</v>
      </c>
      <c r="C61" s="536"/>
      <c r="D61" s="536"/>
      <c r="E61" s="539"/>
      <c r="F61" s="539"/>
      <c r="G61" s="544"/>
      <c r="H61" s="97"/>
      <c r="I61" s="217"/>
      <c r="J61" s="217"/>
      <c r="K61" s="217"/>
      <c r="L61" s="217"/>
      <c r="M61" s="217"/>
      <c r="N61" s="217"/>
      <c r="O61" s="75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</row>
    <row r="62" spans="1:26" ht="14.5" x14ac:dyDescent="0.35">
      <c r="A62" s="611" t="s">
        <v>711</v>
      </c>
      <c r="B62" s="599">
        <v>1</v>
      </c>
      <c r="C62" s="536"/>
      <c r="D62" s="536"/>
      <c r="E62" s="539"/>
      <c r="F62" s="539"/>
      <c r="G62" s="544"/>
      <c r="H62" s="97"/>
      <c r="I62" s="97"/>
      <c r="J62" s="75"/>
      <c r="K62" s="75"/>
      <c r="L62" s="75"/>
      <c r="M62" s="75"/>
      <c r="N62" s="75"/>
      <c r="O62" s="75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</row>
    <row r="63" spans="1:26" s="592" customFormat="1" ht="14.5" x14ac:dyDescent="0.35">
      <c r="A63" s="611" t="s">
        <v>710</v>
      </c>
      <c r="B63" s="599"/>
      <c r="C63" s="536"/>
      <c r="D63" s="536"/>
      <c r="E63" s="539"/>
      <c r="F63" s="539"/>
      <c r="G63" s="544"/>
      <c r="H63" s="97"/>
      <c r="I63" s="97"/>
      <c r="J63" s="75"/>
      <c r="K63" s="75"/>
      <c r="L63" s="75"/>
      <c r="M63" s="75"/>
      <c r="N63" s="75"/>
      <c r="O63" s="75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</row>
    <row r="64" spans="1:26" ht="14.5" x14ac:dyDescent="0.35">
      <c r="A64" s="291" t="s">
        <v>572</v>
      </c>
      <c r="B64" s="536">
        <f>SUM(B54:B57)*7+SUM(B58:B59)</f>
        <v>132</v>
      </c>
      <c r="C64" s="536"/>
      <c r="D64" s="536"/>
      <c r="E64" s="539"/>
      <c r="F64" s="539"/>
      <c r="G64" s="544"/>
      <c r="H64" s="97"/>
      <c r="I64" s="97"/>
      <c r="J64" s="75"/>
      <c r="K64" s="75"/>
      <c r="L64" s="75"/>
      <c r="M64" s="75"/>
      <c r="N64" s="75"/>
      <c r="O64" s="75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</row>
    <row r="65" spans="1:26" s="348" customFormat="1" ht="14.5" x14ac:dyDescent="0.35">
      <c r="A65" s="291"/>
      <c r="B65" s="536"/>
      <c r="C65" s="536"/>
      <c r="D65" s="536"/>
      <c r="E65" s="539"/>
      <c r="F65" s="539"/>
      <c r="G65" s="544"/>
      <c r="H65" s="97"/>
      <c r="I65" s="97"/>
      <c r="J65" s="75"/>
      <c r="K65" s="75"/>
      <c r="L65" s="75"/>
      <c r="M65" s="75"/>
      <c r="N65" s="75"/>
      <c r="O65" s="75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</row>
    <row r="66" spans="1:26" ht="14.5" x14ac:dyDescent="0.35">
      <c r="A66" s="258" t="s">
        <v>555</v>
      </c>
      <c r="B66" s="600">
        <v>24</v>
      </c>
      <c r="C66" s="549"/>
      <c r="D66" s="536"/>
      <c r="E66" s="539"/>
      <c r="F66" s="539"/>
      <c r="G66" s="544"/>
      <c r="H66" s="97"/>
      <c r="I66" s="97"/>
      <c r="J66" s="75"/>
      <c r="K66" s="75"/>
      <c r="L66" s="75"/>
      <c r="M66" s="75"/>
      <c r="N66" s="75"/>
      <c r="O66" s="75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</row>
    <row r="67" spans="1:26" ht="14.5" x14ac:dyDescent="0.35">
      <c r="A67" s="79" t="s">
        <v>171</v>
      </c>
      <c r="B67" s="601">
        <v>1</v>
      </c>
      <c r="C67" s="549"/>
      <c r="D67" s="539"/>
      <c r="E67" s="539"/>
      <c r="F67" s="539"/>
      <c r="G67" s="551"/>
      <c r="H67" s="75"/>
      <c r="I67" s="97"/>
      <c r="J67" s="75"/>
      <c r="K67" s="85" t="s">
        <v>32</v>
      </c>
      <c r="L67" s="75"/>
      <c r="M67" s="75"/>
      <c r="N67" s="75"/>
      <c r="O67" s="75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</row>
    <row r="68" spans="1:26" ht="14.5" x14ac:dyDescent="0.35">
      <c r="A68" s="291" t="s">
        <v>715</v>
      </c>
      <c r="B68" s="602">
        <v>24</v>
      </c>
      <c r="C68" s="536"/>
      <c r="D68" s="539"/>
      <c r="E68" s="539"/>
      <c r="F68" s="539"/>
      <c r="G68" s="551"/>
      <c r="H68" s="75"/>
      <c r="I68" s="75"/>
      <c r="J68" s="75"/>
      <c r="K68" s="75"/>
      <c r="L68" s="75"/>
      <c r="M68" s="75"/>
      <c r="N68" s="75"/>
      <c r="O68" s="75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</row>
    <row r="69" spans="1:26" s="348" customFormat="1" ht="14.5" x14ac:dyDescent="0.35">
      <c r="A69" s="291" t="s">
        <v>573</v>
      </c>
      <c r="B69" s="536">
        <f>B66</f>
        <v>24</v>
      </c>
      <c r="C69" s="536"/>
      <c r="D69" s="539"/>
      <c r="E69" s="539"/>
      <c r="F69" s="539"/>
      <c r="G69" s="551"/>
      <c r="H69" s="75"/>
      <c r="I69" s="75"/>
      <c r="J69" s="75"/>
      <c r="K69" s="75"/>
      <c r="L69" s="75"/>
      <c r="M69" s="75"/>
      <c r="N69" s="75"/>
      <c r="O69" s="75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</row>
    <row r="70" spans="1:26" s="348" customFormat="1" ht="14.5" x14ac:dyDescent="0.35">
      <c r="A70" s="291"/>
      <c r="B70" s="536"/>
      <c r="C70" s="536"/>
      <c r="D70" s="539"/>
      <c r="E70" s="539"/>
      <c r="F70" s="539"/>
      <c r="G70" s="551"/>
      <c r="H70" s="75"/>
      <c r="I70" s="75"/>
      <c r="J70" s="75"/>
      <c r="K70" s="75"/>
      <c r="L70" s="75"/>
      <c r="M70" s="75"/>
      <c r="N70" s="75"/>
      <c r="O70" s="75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</row>
    <row r="71" spans="1:26" ht="14.5" x14ac:dyDescent="0.35">
      <c r="A71" s="79" t="s">
        <v>172</v>
      </c>
      <c r="B71" s="601">
        <v>6</v>
      </c>
      <c r="C71" s="549"/>
      <c r="D71" s="536"/>
      <c r="E71" s="539"/>
      <c r="F71" s="539"/>
      <c r="G71" s="551"/>
      <c r="H71" s="75"/>
      <c r="I71" s="75"/>
      <c r="J71" s="75"/>
      <c r="K71" s="75"/>
      <c r="L71" s="75"/>
      <c r="M71" s="75"/>
      <c r="N71" s="75"/>
      <c r="O71" s="75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</row>
    <row r="72" spans="1:26" ht="14.5" x14ac:dyDescent="0.35">
      <c r="A72" s="79" t="s">
        <v>173</v>
      </c>
      <c r="B72" s="601">
        <v>2</v>
      </c>
      <c r="C72" s="337"/>
      <c r="D72" s="536"/>
      <c r="E72" s="539"/>
      <c r="F72" s="539"/>
      <c r="G72" s="551"/>
      <c r="H72" s="75"/>
      <c r="I72" s="75"/>
      <c r="J72" s="75"/>
      <c r="K72" s="75"/>
      <c r="L72" s="75"/>
      <c r="M72" s="75"/>
      <c r="N72" s="75"/>
      <c r="O72" s="75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</row>
    <row r="73" spans="1:26" ht="14.5" x14ac:dyDescent="0.35">
      <c r="A73" s="79" t="s">
        <v>174</v>
      </c>
      <c r="B73" s="601">
        <v>0</v>
      </c>
      <c r="C73" s="337"/>
      <c r="D73" s="536"/>
      <c r="E73" s="539"/>
      <c r="F73" s="539"/>
      <c r="G73" s="551"/>
      <c r="H73" s="75"/>
      <c r="I73" s="75"/>
      <c r="J73" s="75"/>
      <c r="K73" s="75"/>
      <c r="L73" s="75"/>
      <c r="M73" s="75"/>
      <c r="N73" s="75"/>
      <c r="O73" s="75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</row>
    <row r="74" spans="1:26" ht="14.5" x14ac:dyDescent="0.35">
      <c r="A74" s="79" t="s">
        <v>175</v>
      </c>
      <c r="B74" s="601"/>
      <c r="C74" s="536"/>
      <c r="D74" s="539"/>
      <c r="E74" s="539"/>
      <c r="F74" s="539"/>
      <c r="G74" s="551"/>
      <c r="H74" s="75"/>
      <c r="I74" s="75"/>
      <c r="J74" s="75"/>
      <c r="K74" s="75"/>
      <c r="L74" s="75"/>
      <c r="M74" s="75"/>
      <c r="N74" s="75"/>
      <c r="O74" s="75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</row>
    <row r="75" spans="1:26" ht="14.5" x14ac:dyDescent="0.35">
      <c r="A75" s="79" t="s">
        <v>176</v>
      </c>
      <c r="B75" s="601">
        <v>0</v>
      </c>
      <c r="C75" s="549"/>
      <c r="D75" s="536"/>
      <c r="E75" s="539"/>
      <c r="F75" s="539"/>
      <c r="G75" s="551"/>
      <c r="H75" s="75"/>
      <c r="I75" s="75"/>
      <c r="J75" s="75"/>
      <c r="K75" s="75"/>
      <c r="L75" s="75"/>
      <c r="M75" s="75"/>
      <c r="N75" s="75"/>
      <c r="O75" s="75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</row>
    <row r="76" spans="1:26" ht="14.5" x14ac:dyDescent="0.35">
      <c r="A76" s="79" t="s">
        <v>177</v>
      </c>
      <c r="B76" s="550"/>
      <c r="C76" s="549"/>
      <c r="D76" s="536"/>
      <c r="E76" s="539"/>
      <c r="F76" s="539"/>
      <c r="G76" s="551"/>
      <c r="H76" s="75"/>
      <c r="I76" s="75"/>
      <c r="J76" s="75"/>
      <c r="K76" s="75"/>
      <c r="L76" s="75"/>
      <c r="M76" s="75"/>
      <c r="N76" s="75"/>
      <c r="O76" s="75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</row>
    <row r="77" spans="1:26" ht="14.5" x14ac:dyDescent="0.35">
      <c r="A77" s="46" t="s">
        <v>574</v>
      </c>
      <c r="B77" s="552">
        <f>SUM(B71:B72)</f>
        <v>8</v>
      </c>
      <c r="C77" s="533"/>
      <c r="D77" s="547"/>
      <c r="E77" s="548"/>
      <c r="F77" s="548"/>
      <c r="G77" s="553"/>
      <c r="H77" s="75"/>
      <c r="I77" s="75"/>
      <c r="J77" s="75"/>
      <c r="K77" s="75"/>
      <c r="L77" s="75"/>
      <c r="M77" s="75"/>
      <c r="N77" s="75"/>
      <c r="O77" s="75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</row>
    <row r="78" spans="1:26" s="348" customFormat="1" ht="14.5" x14ac:dyDescent="0.35">
      <c r="A78" s="217" t="s">
        <v>575</v>
      </c>
      <c r="B78" s="554">
        <f>B45+B49+B52+B64+B69+B77</f>
        <v>575</v>
      </c>
      <c r="C78" s="549"/>
      <c r="D78" s="536"/>
      <c r="E78" s="539"/>
      <c r="F78" s="539"/>
      <c r="G78" s="539"/>
      <c r="H78" s="75"/>
      <c r="I78" s="75"/>
      <c r="J78" s="75"/>
      <c r="K78" s="75"/>
      <c r="L78" s="75"/>
      <c r="M78" s="75"/>
      <c r="N78" s="75"/>
      <c r="O78" s="75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</row>
    <row r="79" spans="1:26" ht="14.5" x14ac:dyDescent="0.35">
      <c r="A79" s="85"/>
      <c r="B79" s="555"/>
      <c r="C79" s="549"/>
      <c r="D79" s="536"/>
      <c r="E79" s="539"/>
      <c r="F79" s="539"/>
      <c r="G79" s="539"/>
      <c r="H79" s="75"/>
      <c r="I79" s="75"/>
      <c r="J79" s="75"/>
      <c r="K79" s="75"/>
      <c r="L79" s="75"/>
      <c r="M79" s="75"/>
      <c r="N79" s="75"/>
      <c r="O79" s="75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</row>
    <row r="80" spans="1:26" ht="14.5" x14ac:dyDescent="0.35">
      <c r="A80" s="581" t="s">
        <v>178</v>
      </c>
      <c r="B80" s="604"/>
      <c r="C80" s="605"/>
      <c r="D80" s="582"/>
      <c r="E80" s="539"/>
      <c r="F80" s="337"/>
      <c r="G80" s="337"/>
      <c r="H80" s="217"/>
      <c r="I80" s="217"/>
      <c r="J80" s="217"/>
      <c r="K80" s="217"/>
      <c r="L80" s="75"/>
      <c r="M80" s="75"/>
      <c r="N80" s="75"/>
      <c r="O80" s="75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</row>
    <row r="81" spans="1:26" ht="29" x14ac:dyDescent="0.35">
      <c r="A81" s="606" t="s">
        <v>658</v>
      </c>
      <c r="B81" s="602">
        <f>J82*12</f>
        <v>9680.2800000000007</v>
      </c>
      <c r="C81" s="536" t="s">
        <v>180</v>
      </c>
      <c r="D81" s="607"/>
      <c r="E81" s="677" t="s">
        <v>181</v>
      </c>
      <c r="F81" s="678"/>
      <c r="G81" s="679"/>
      <c r="H81" s="128" t="s">
        <v>182</v>
      </c>
      <c r="I81" s="217" t="s">
        <v>704</v>
      </c>
      <c r="J81" s="217" t="s">
        <v>705</v>
      </c>
      <c r="K81" s="177" t="s">
        <v>240</v>
      </c>
      <c r="L81" s="128" t="s">
        <v>706</v>
      </c>
      <c r="M81" s="75"/>
      <c r="N81" s="75"/>
      <c r="O81" s="75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</row>
    <row r="82" spans="1:26" ht="14.5" x14ac:dyDescent="0.35">
      <c r="A82" s="606" t="s">
        <v>279</v>
      </c>
      <c r="B82" s="602">
        <f>J83*6</f>
        <v>1210.02</v>
      </c>
      <c r="C82" s="536" t="s">
        <v>180</v>
      </c>
      <c r="D82" s="607"/>
      <c r="E82" s="680"/>
      <c r="F82" s="681"/>
      <c r="G82" s="682"/>
      <c r="H82" s="532" t="s">
        <v>658</v>
      </c>
      <c r="I82" s="217">
        <f>792.43</f>
        <v>792.43</v>
      </c>
      <c r="J82" s="217">
        <f>806.69</f>
        <v>806.69</v>
      </c>
      <c r="K82" s="217">
        <f>SUM(I82:J82)</f>
        <v>1599.12</v>
      </c>
      <c r="L82" s="75">
        <f>J82/K82</f>
        <v>0.50445870228625755</v>
      </c>
      <c r="M82" s="75"/>
      <c r="N82" s="75"/>
      <c r="O82" s="75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</row>
    <row r="83" spans="1:26" ht="14.5" x14ac:dyDescent="0.35">
      <c r="A83" s="606" t="s">
        <v>363</v>
      </c>
      <c r="B83" s="602">
        <f>J84*9</f>
        <v>5963.67</v>
      </c>
      <c r="C83" s="536" t="s">
        <v>180</v>
      </c>
      <c r="D83" s="608"/>
      <c r="E83" s="680"/>
      <c r="F83" s="681"/>
      <c r="G83" s="682"/>
      <c r="H83" s="177" t="s">
        <v>279</v>
      </c>
      <c r="I83" s="217">
        <f>192.09</f>
        <v>192.09</v>
      </c>
      <c r="J83" s="217">
        <f>201.67</f>
        <v>201.67</v>
      </c>
      <c r="K83" s="217">
        <f t="shared" ref="K83:K89" si="0">SUM(I83:J83)</f>
        <v>393.76</v>
      </c>
      <c r="L83" s="75">
        <f t="shared" ref="L83:L89" si="1">J83/K83</f>
        <v>0.51216477041852904</v>
      </c>
      <c r="M83" s="75"/>
      <c r="N83" s="75"/>
      <c r="O83" s="75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</row>
    <row r="84" spans="1:26" ht="14.5" x14ac:dyDescent="0.35">
      <c r="A84" s="606" t="s">
        <v>685</v>
      </c>
      <c r="B84" s="602">
        <f>J85*5</f>
        <v>1728.6000000000001</v>
      </c>
      <c r="C84" s="536" t="s">
        <v>180</v>
      </c>
      <c r="D84" s="608"/>
      <c r="E84" s="680"/>
      <c r="F84" s="681"/>
      <c r="G84" s="682"/>
      <c r="H84" s="532" t="s">
        <v>363</v>
      </c>
      <c r="I84" s="75">
        <f>672.39</f>
        <v>672.39</v>
      </c>
      <c r="J84" s="75">
        <f>662.63</f>
        <v>662.63</v>
      </c>
      <c r="K84" s="217">
        <f t="shared" si="0"/>
        <v>1335.02</v>
      </c>
      <c r="L84" s="75">
        <f t="shared" si="1"/>
        <v>0.496344624050576</v>
      </c>
      <c r="M84" s="75"/>
      <c r="N84" s="75"/>
      <c r="O84" s="75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</row>
    <row r="85" spans="1:26" ht="14.5" x14ac:dyDescent="0.35">
      <c r="A85" s="606" t="s">
        <v>686</v>
      </c>
      <c r="B85" s="602">
        <f>J86*5</f>
        <v>3241.15</v>
      </c>
      <c r="C85" s="536" t="s">
        <v>180</v>
      </c>
      <c r="D85" s="608"/>
      <c r="E85" s="683"/>
      <c r="F85" s="683"/>
      <c r="G85" s="684"/>
      <c r="H85" s="532" t="s">
        <v>685</v>
      </c>
      <c r="I85" s="75">
        <f>425.81</f>
        <v>425.81</v>
      </c>
      <c r="J85" s="75">
        <f>345.72</f>
        <v>345.72</v>
      </c>
      <c r="K85" s="217">
        <f t="shared" si="0"/>
        <v>771.53</v>
      </c>
      <c r="L85" s="75">
        <f t="shared" si="1"/>
        <v>0.44809663914559389</v>
      </c>
      <c r="M85" s="75"/>
      <c r="N85" s="75"/>
      <c r="O85" s="75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</row>
    <row r="86" spans="1:26" ht="14.5" x14ac:dyDescent="0.35">
      <c r="A86" s="611" t="s">
        <v>712</v>
      </c>
      <c r="B86" s="602">
        <f>J87*25</f>
        <v>1440.5</v>
      </c>
      <c r="C86" s="536" t="s">
        <v>180</v>
      </c>
      <c r="D86" s="608"/>
      <c r="E86" s="603"/>
      <c r="F86" s="560"/>
      <c r="G86" s="560"/>
      <c r="H86" s="532" t="s">
        <v>686</v>
      </c>
      <c r="I86" s="75">
        <f>677.89</f>
        <v>677.89</v>
      </c>
      <c r="J86" s="75">
        <f>648.23</f>
        <v>648.23</v>
      </c>
      <c r="K86" s="217">
        <f t="shared" si="0"/>
        <v>1326.12</v>
      </c>
      <c r="L86" s="75">
        <f t="shared" si="1"/>
        <v>0.48881699996983685</v>
      </c>
      <c r="M86" s="75"/>
      <c r="N86" s="75"/>
      <c r="O86" s="75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</row>
    <row r="87" spans="1:26" ht="14.5" x14ac:dyDescent="0.35">
      <c r="A87" s="611" t="s">
        <v>713</v>
      </c>
      <c r="B87" s="602">
        <f>J88*25</f>
        <v>2688.25</v>
      </c>
      <c r="C87" s="536" t="s">
        <v>180</v>
      </c>
      <c r="D87" s="608"/>
      <c r="E87" s="536"/>
      <c r="F87" s="536"/>
      <c r="G87" s="539"/>
      <c r="H87" s="532" t="s">
        <v>687</v>
      </c>
      <c r="I87" s="75">
        <f>67.69</f>
        <v>67.69</v>
      </c>
      <c r="J87" s="75">
        <f>57.62</f>
        <v>57.62</v>
      </c>
      <c r="K87" s="217">
        <f t="shared" si="0"/>
        <v>125.31</v>
      </c>
      <c r="L87" s="75">
        <f t="shared" si="1"/>
        <v>0.45981964727475855</v>
      </c>
      <c r="M87" s="75"/>
      <c r="N87" s="75"/>
      <c r="O87" s="75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</row>
    <row r="88" spans="1:26" ht="14.5" x14ac:dyDescent="0.35">
      <c r="A88" s="612" t="s">
        <v>714</v>
      </c>
      <c r="B88" s="613">
        <f t="shared" ref="B88" si="2">J89</f>
        <v>151.26</v>
      </c>
      <c r="C88" s="609" t="s">
        <v>707</v>
      </c>
      <c r="D88" s="610"/>
      <c r="E88" s="536"/>
      <c r="F88" s="536"/>
      <c r="G88" s="539"/>
      <c r="H88" s="532" t="s">
        <v>688</v>
      </c>
      <c r="I88" s="75">
        <f>109.28</f>
        <v>109.28</v>
      </c>
      <c r="J88" s="75">
        <f>107.53</f>
        <v>107.53</v>
      </c>
      <c r="K88" s="217">
        <f t="shared" si="0"/>
        <v>216.81</v>
      </c>
      <c r="L88" s="75">
        <f t="shared" si="1"/>
        <v>0.49596420829297544</v>
      </c>
      <c r="M88" s="75"/>
      <c r="N88" s="75"/>
      <c r="O88" s="75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</row>
    <row r="89" spans="1:26" ht="14.5" x14ac:dyDescent="0.35">
      <c r="A89" s="84"/>
      <c r="B89" s="536"/>
      <c r="C89" s="536"/>
      <c r="D89" s="337"/>
      <c r="E89" s="536"/>
      <c r="F89" s="536"/>
      <c r="G89" s="539"/>
      <c r="H89" s="532" t="s">
        <v>186</v>
      </c>
      <c r="I89" s="75">
        <f>150.08</f>
        <v>150.08000000000001</v>
      </c>
      <c r="J89" s="75">
        <f>151.26</f>
        <v>151.26</v>
      </c>
      <c r="K89" s="217">
        <f t="shared" si="0"/>
        <v>301.34000000000003</v>
      </c>
      <c r="L89" s="75">
        <f t="shared" si="1"/>
        <v>0.50195792128492722</v>
      </c>
      <c r="M89" s="75"/>
      <c r="N89" s="75"/>
      <c r="O89" s="75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</row>
    <row r="90" spans="1:26" ht="14.5" x14ac:dyDescent="0.35">
      <c r="A90" s="84"/>
      <c r="B90" s="536"/>
      <c r="C90" s="536"/>
      <c r="D90" s="337"/>
      <c r="E90" s="536"/>
      <c r="F90" s="536"/>
      <c r="G90" s="539"/>
      <c r="H90" s="75"/>
      <c r="I90" s="75"/>
      <c r="J90" s="75"/>
      <c r="K90" s="75"/>
      <c r="L90" s="75"/>
      <c r="M90" s="75"/>
      <c r="N90" s="75"/>
      <c r="O90" s="75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</row>
    <row r="91" spans="1:26" ht="14.5" x14ac:dyDescent="0.35">
      <c r="A91" s="84"/>
      <c r="B91" s="536"/>
      <c r="C91" s="536"/>
      <c r="D91" s="337"/>
      <c r="E91" s="536"/>
      <c r="F91" s="536"/>
      <c r="G91" s="539"/>
      <c r="H91" s="75"/>
      <c r="I91" s="75"/>
      <c r="J91" s="75"/>
      <c r="K91" s="75"/>
      <c r="L91" s="75"/>
      <c r="M91" s="75"/>
      <c r="N91" s="75"/>
      <c r="O91" s="75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</row>
    <row r="92" spans="1:26" ht="14.5" x14ac:dyDescent="0.35">
      <c r="A92" s="84"/>
      <c r="B92" s="536"/>
      <c r="C92" s="536"/>
      <c r="D92" s="337"/>
      <c r="E92" s="536"/>
      <c r="F92" s="536"/>
      <c r="G92" s="539"/>
      <c r="H92" s="75"/>
      <c r="I92" s="75"/>
      <c r="J92" s="75"/>
      <c r="K92" s="75"/>
      <c r="L92" s="75"/>
      <c r="M92" s="75"/>
      <c r="N92" s="75"/>
      <c r="O92" s="75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</row>
    <row r="93" spans="1:26" ht="14.5" x14ac:dyDescent="0.35">
      <c r="A93" s="105" t="s">
        <v>188</v>
      </c>
      <c r="B93" s="538"/>
      <c r="C93" s="561"/>
      <c r="D93" s="337"/>
      <c r="E93" s="536"/>
      <c r="F93" s="536"/>
      <c r="G93" s="539"/>
      <c r="H93" s="75"/>
      <c r="I93" s="75"/>
      <c r="J93" s="75"/>
      <c r="K93" s="75"/>
      <c r="L93" s="75"/>
      <c r="M93" s="75"/>
      <c r="N93" s="75"/>
      <c r="O93" s="75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</row>
    <row r="94" spans="1:26" ht="14.5" x14ac:dyDescent="0.35">
      <c r="A94" s="78" t="s">
        <v>189</v>
      </c>
      <c r="B94" s="545">
        <v>120000</v>
      </c>
      <c r="C94" s="562" t="s">
        <v>190</v>
      </c>
      <c r="D94" s="337"/>
      <c r="E94" s="536"/>
      <c r="F94" s="536"/>
      <c r="G94" s="539"/>
      <c r="H94" s="75"/>
      <c r="I94" s="75"/>
      <c r="J94" s="75"/>
      <c r="K94" s="75"/>
      <c r="L94" s="75"/>
      <c r="M94" s="75"/>
      <c r="N94" s="75"/>
      <c r="O94" s="75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</row>
    <row r="95" spans="1:26" ht="14.5" x14ac:dyDescent="0.35">
      <c r="A95" s="78" t="s">
        <v>183</v>
      </c>
      <c r="B95" s="545">
        <v>65000</v>
      </c>
      <c r="C95" s="562" t="s">
        <v>190</v>
      </c>
      <c r="D95" s="337"/>
      <c r="E95" s="536"/>
      <c r="F95" s="536"/>
      <c r="G95" s="539"/>
      <c r="H95" s="75"/>
      <c r="I95" s="75"/>
      <c r="J95" s="75"/>
      <c r="K95" s="75"/>
      <c r="L95" s="75"/>
      <c r="M95" s="75"/>
      <c r="N95" s="75"/>
      <c r="O95" s="75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</row>
    <row r="96" spans="1:26" ht="14.5" x14ac:dyDescent="0.35">
      <c r="A96" s="32" t="s">
        <v>191</v>
      </c>
      <c r="B96" s="545">
        <v>25000</v>
      </c>
      <c r="C96" s="562" t="s">
        <v>190</v>
      </c>
      <c r="D96" s="337"/>
      <c r="E96" s="536"/>
      <c r="F96" s="536"/>
      <c r="G96" s="539"/>
      <c r="H96" s="75"/>
      <c r="I96" s="75"/>
      <c r="J96" s="75"/>
      <c r="K96" s="75"/>
      <c r="L96" s="75"/>
      <c r="M96" s="75"/>
      <c r="N96" s="75"/>
      <c r="O96" s="75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</row>
    <row r="97" spans="1:26" ht="14.5" x14ac:dyDescent="0.35">
      <c r="A97" s="32" t="s">
        <v>192</v>
      </c>
      <c r="B97" s="545">
        <v>40000</v>
      </c>
      <c r="C97" s="562" t="s">
        <v>190</v>
      </c>
      <c r="D97" s="337"/>
      <c r="E97" s="536"/>
      <c r="F97" s="536"/>
      <c r="G97" s="539"/>
      <c r="H97" s="75"/>
      <c r="I97" s="75"/>
      <c r="J97" s="75"/>
      <c r="K97" s="75"/>
      <c r="L97" s="75"/>
      <c r="M97" s="75"/>
      <c r="N97" s="75"/>
      <c r="O97" s="75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</row>
    <row r="98" spans="1:26" ht="14.5" x14ac:dyDescent="0.35">
      <c r="A98" s="32" t="s">
        <v>556</v>
      </c>
      <c r="B98" s="545">
        <v>35000</v>
      </c>
      <c r="C98" s="562" t="s">
        <v>190</v>
      </c>
      <c r="D98" s="337"/>
      <c r="E98" s="536"/>
      <c r="F98" s="536"/>
      <c r="G98" s="539"/>
      <c r="H98" s="75"/>
      <c r="I98" s="75"/>
      <c r="J98" s="75"/>
      <c r="K98" s="75"/>
      <c r="L98" s="75"/>
      <c r="M98" s="75"/>
      <c r="N98" s="75"/>
      <c r="O98" s="75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</row>
    <row r="99" spans="1:26" s="290" customFormat="1" ht="14.5" x14ac:dyDescent="0.35">
      <c r="A99" s="32" t="s">
        <v>716</v>
      </c>
      <c r="B99" s="545">
        <v>45000</v>
      </c>
      <c r="C99" s="563" t="s">
        <v>190</v>
      </c>
      <c r="D99" s="337"/>
      <c r="E99" s="536"/>
      <c r="F99" s="536"/>
      <c r="G99" s="539"/>
      <c r="H99" s="75"/>
      <c r="I99" s="75"/>
      <c r="J99" s="75"/>
      <c r="K99" s="75"/>
      <c r="L99" s="75"/>
      <c r="M99" s="75"/>
      <c r="N99" s="75"/>
      <c r="O99" s="75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</row>
    <row r="100" spans="1:26" ht="14.5" x14ac:dyDescent="0.35">
      <c r="A100" s="217" t="s">
        <v>184</v>
      </c>
      <c r="B100" s="545">
        <v>10000</v>
      </c>
      <c r="C100" s="564" t="s">
        <v>190</v>
      </c>
      <c r="D100" s="337"/>
      <c r="E100" s="536"/>
      <c r="F100" s="536"/>
      <c r="G100" s="539"/>
      <c r="H100" s="75"/>
      <c r="I100" s="75"/>
      <c r="J100" s="75"/>
      <c r="K100" s="75"/>
      <c r="L100" s="75"/>
      <c r="M100" s="75"/>
      <c r="N100" s="75"/>
      <c r="O100" s="75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</row>
    <row r="101" spans="1:26" ht="14.5" x14ac:dyDescent="0.35">
      <c r="A101" s="120"/>
      <c r="B101" s="565"/>
      <c r="C101" s="566"/>
      <c r="D101" s="567"/>
      <c r="E101" s="536"/>
      <c r="F101" s="536"/>
      <c r="G101" s="539"/>
      <c r="H101" s="75"/>
      <c r="I101" s="75"/>
      <c r="J101" s="75"/>
      <c r="K101" s="75"/>
      <c r="L101" s="75"/>
      <c r="M101" s="75"/>
      <c r="N101" s="75"/>
      <c r="O101" s="75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</row>
    <row r="102" spans="1:26" ht="14.5" x14ac:dyDescent="0.35">
      <c r="A102" s="84"/>
      <c r="B102" s="536"/>
      <c r="C102" s="536"/>
      <c r="D102" s="536"/>
      <c r="E102" s="539"/>
      <c r="F102" s="539"/>
      <c r="G102" s="539"/>
      <c r="H102" s="75"/>
      <c r="I102" s="75"/>
      <c r="J102" s="75"/>
      <c r="K102" s="75"/>
      <c r="L102" s="75"/>
      <c r="M102" s="75"/>
      <c r="N102" s="75"/>
      <c r="O102" s="75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</row>
    <row r="103" spans="1:26" ht="14.5" x14ac:dyDescent="0.35">
      <c r="A103" s="76" t="s">
        <v>193</v>
      </c>
      <c r="B103" s="540"/>
      <c r="C103" s="540"/>
      <c r="D103" s="540"/>
      <c r="E103" s="557"/>
      <c r="F103" s="539"/>
      <c r="G103" s="539"/>
      <c r="H103" s="75"/>
      <c r="I103" s="75"/>
      <c r="J103" s="75"/>
      <c r="K103" s="75"/>
      <c r="L103" s="75"/>
      <c r="M103" s="75"/>
      <c r="N103" s="75"/>
      <c r="O103" s="75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</row>
    <row r="104" spans="1:26" ht="14.5" x14ac:dyDescent="0.35">
      <c r="A104" s="79" t="s">
        <v>194</v>
      </c>
      <c r="B104" s="550">
        <v>1</v>
      </c>
      <c r="C104" s="549" t="s">
        <v>195</v>
      </c>
      <c r="D104" s="550">
        <v>2500</v>
      </c>
      <c r="E104" s="558" t="s">
        <v>196</v>
      </c>
      <c r="F104" s="539"/>
      <c r="G104" s="539"/>
      <c r="H104" s="75"/>
      <c r="I104" s="75"/>
      <c r="J104" s="75"/>
      <c r="K104" s="75"/>
      <c r="L104" s="75"/>
      <c r="M104" s="75"/>
      <c r="N104" s="75"/>
      <c r="O104" s="75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</row>
    <row r="105" spans="1:26" ht="14.5" x14ac:dyDescent="0.35">
      <c r="A105" s="79" t="s">
        <v>197</v>
      </c>
      <c r="B105" s="550">
        <v>1</v>
      </c>
      <c r="C105" s="549" t="s">
        <v>195</v>
      </c>
      <c r="D105" s="550">
        <v>2500</v>
      </c>
      <c r="E105" s="558" t="s">
        <v>196</v>
      </c>
      <c r="F105" s="539"/>
      <c r="G105" s="539"/>
      <c r="H105" s="75"/>
      <c r="I105" s="75"/>
      <c r="J105" s="75"/>
      <c r="K105" s="75"/>
      <c r="L105" s="75"/>
      <c r="M105" s="75"/>
      <c r="N105" s="75"/>
      <c r="O105" s="75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</row>
    <row r="106" spans="1:26" ht="14.5" x14ac:dyDescent="0.35">
      <c r="A106" s="81" t="s">
        <v>198</v>
      </c>
      <c r="B106" s="559">
        <v>1</v>
      </c>
      <c r="C106" s="533" t="s">
        <v>195</v>
      </c>
      <c r="D106" s="559">
        <v>2500</v>
      </c>
      <c r="E106" s="534" t="s">
        <v>196</v>
      </c>
      <c r="F106" s="539"/>
      <c r="G106" s="539"/>
      <c r="H106" s="75"/>
      <c r="I106" s="75"/>
      <c r="J106" s="75"/>
      <c r="K106" s="75"/>
      <c r="L106" s="75"/>
      <c r="M106" s="75"/>
      <c r="N106" s="75"/>
      <c r="O106" s="75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</row>
    <row r="107" spans="1:26" ht="14.5" x14ac:dyDescent="0.35">
      <c r="A107" s="217"/>
      <c r="B107" s="568"/>
      <c r="C107" s="337"/>
      <c r="D107" s="337"/>
      <c r="E107" s="337"/>
      <c r="F107" s="539"/>
      <c r="G107" s="539"/>
      <c r="H107" s="75"/>
      <c r="I107" s="75"/>
      <c r="J107" s="75"/>
      <c r="K107" s="75"/>
      <c r="L107" s="75"/>
      <c r="M107" s="75"/>
      <c r="N107" s="75"/>
      <c r="O107" s="75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</row>
    <row r="108" spans="1:26" ht="14.5" x14ac:dyDescent="0.35">
      <c r="A108" s="76" t="s">
        <v>199</v>
      </c>
      <c r="B108" s="569"/>
      <c r="C108" s="540"/>
      <c r="D108" s="540"/>
      <c r="E108" s="557"/>
      <c r="F108" s="539"/>
      <c r="G108" s="539"/>
      <c r="H108" s="75"/>
      <c r="I108" s="75"/>
      <c r="J108" s="75"/>
      <c r="K108" s="75"/>
      <c r="L108" s="75"/>
      <c r="M108" s="75"/>
      <c r="N108" s="75"/>
      <c r="O108" s="75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</row>
    <row r="109" spans="1:26" ht="14.5" x14ac:dyDescent="0.35">
      <c r="A109" s="79" t="s">
        <v>194</v>
      </c>
      <c r="B109" s="550">
        <v>1</v>
      </c>
      <c r="C109" s="549" t="s">
        <v>195</v>
      </c>
      <c r="D109" s="570">
        <v>2500</v>
      </c>
      <c r="E109" s="558" t="s">
        <v>196</v>
      </c>
      <c r="F109" s="539"/>
      <c r="G109" s="539"/>
      <c r="H109" s="75"/>
      <c r="I109" s="75"/>
      <c r="J109" s="75"/>
      <c r="K109" s="75"/>
      <c r="L109" s="75"/>
      <c r="M109" s="75"/>
      <c r="N109" s="75"/>
      <c r="O109" s="75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</row>
    <row r="110" spans="1:26" ht="14.5" x14ac:dyDescent="0.35">
      <c r="A110" s="79" t="s">
        <v>197</v>
      </c>
      <c r="B110" s="550">
        <v>1</v>
      </c>
      <c r="C110" s="549" t="s">
        <v>195</v>
      </c>
      <c r="D110" s="570">
        <v>2500</v>
      </c>
      <c r="E110" s="558" t="s">
        <v>196</v>
      </c>
      <c r="F110" s="539"/>
      <c r="G110" s="539"/>
      <c r="H110" s="75"/>
      <c r="I110" s="75"/>
      <c r="J110" s="75"/>
      <c r="K110" s="75"/>
      <c r="L110" s="75"/>
      <c r="M110" s="75"/>
      <c r="N110" s="75"/>
      <c r="O110" s="75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</row>
    <row r="111" spans="1:26" ht="14.5" x14ac:dyDescent="0.35">
      <c r="A111" s="81" t="s">
        <v>198</v>
      </c>
      <c r="B111" s="559">
        <v>1</v>
      </c>
      <c r="C111" s="533" t="s">
        <v>195</v>
      </c>
      <c r="D111" s="571">
        <v>2500</v>
      </c>
      <c r="E111" s="534" t="s">
        <v>196</v>
      </c>
      <c r="F111" s="539"/>
      <c r="G111" s="539"/>
      <c r="H111" s="75"/>
      <c r="I111" s="75"/>
      <c r="J111" s="75"/>
      <c r="K111" s="75"/>
      <c r="L111" s="75"/>
      <c r="M111" s="75"/>
      <c r="N111" s="75"/>
      <c r="O111" s="75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</row>
    <row r="112" spans="1:26" ht="14.5" x14ac:dyDescent="0.35">
      <c r="A112" s="74"/>
      <c r="B112" s="547"/>
      <c r="C112" s="547"/>
      <c r="D112" s="547"/>
      <c r="E112" s="539"/>
      <c r="F112" s="539"/>
      <c r="G112" s="539"/>
      <c r="H112" s="75"/>
      <c r="I112" s="75"/>
      <c r="J112" s="75"/>
      <c r="K112" s="75"/>
      <c r="L112" s="75"/>
      <c r="M112" s="75"/>
      <c r="N112" s="75"/>
      <c r="O112" s="75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</row>
    <row r="113" spans="1:26" ht="14.5" x14ac:dyDescent="0.35">
      <c r="A113" s="76" t="s">
        <v>200</v>
      </c>
      <c r="B113" s="556" t="s">
        <v>201</v>
      </c>
      <c r="C113" s="556" t="s">
        <v>589</v>
      </c>
      <c r="D113" s="557" t="s">
        <v>203</v>
      </c>
      <c r="E113" s="535"/>
      <c r="F113" s="536"/>
      <c r="G113" s="539"/>
      <c r="H113" s="75"/>
      <c r="I113" s="75"/>
      <c r="J113" s="75"/>
      <c r="K113" s="75"/>
      <c r="L113" s="75"/>
      <c r="M113" s="75"/>
      <c r="N113" s="75"/>
      <c r="O113" s="75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</row>
    <row r="114" spans="1:26" ht="14.5" x14ac:dyDescent="0.35">
      <c r="A114" s="79" t="s">
        <v>204</v>
      </c>
      <c r="B114" s="550">
        <v>800</v>
      </c>
      <c r="C114" s="550">
        <v>475</v>
      </c>
      <c r="D114" s="594">
        <v>0.5</v>
      </c>
      <c r="E114" s="535"/>
      <c r="F114" s="536"/>
      <c r="G114" s="539"/>
      <c r="H114" s="75"/>
      <c r="I114" s="75"/>
      <c r="J114" s="75"/>
      <c r="K114" s="75"/>
      <c r="L114" s="75"/>
      <c r="M114" s="75"/>
      <c r="N114" s="75"/>
      <c r="O114" s="75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</row>
    <row r="115" spans="1:26" ht="14.5" x14ac:dyDescent="0.35">
      <c r="A115" s="79" t="s">
        <v>205</v>
      </c>
      <c r="B115" s="550">
        <v>800</v>
      </c>
      <c r="C115" s="550">
        <v>630</v>
      </c>
      <c r="D115" s="594">
        <v>0.6</v>
      </c>
      <c r="E115" s="535"/>
      <c r="F115" s="536"/>
      <c r="G115" s="539"/>
      <c r="H115" s="75"/>
      <c r="I115" s="75"/>
      <c r="J115" s="75"/>
      <c r="K115" s="75"/>
      <c r="L115" s="75"/>
      <c r="M115" s="75"/>
      <c r="N115" s="75"/>
      <c r="O115" s="75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</row>
    <row r="116" spans="1:26" ht="14.5" x14ac:dyDescent="0.35">
      <c r="A116" s="79" t="s">
        <v>206</v>
      </c>
      <c r="B116" s="550">
        <v>800</v>
      </c>
      <c r="C116" s="550">
        <v>945</v>
      </c>
      <c r="D116" s="594">
        <v>0.7</v>
      </c>
      <c r="E116" s="535"/>
      <c r="F116" s="536"/>
      <c r="G116" s="539"/>
      <c r="H116" s="75"/>
      <c r="I116" s="75"/>
      <c r="J116" s="75"/>
      <c r="K116" s="75"/>
      <c r="L116" s="75"/>
      <c r="M116" s="75"/>
      <c r="N116" s="75"/>
      <c r="O116" s="75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</row>
    <row r="117" spans="1:26" ht="14.5" x14ac:dyDescent="0.35">
      <c r="A117" s="79" t="s">
        <v>207</v>
      </c>
      <c r="B117" s="550">
        <v>650</v>
      </c>
      <c r="C117" s="550">
        <v>800</v>
      </c>
      <c r="D117" s="594">
        <v>0.85</v>
      </c>
      <c r="E117" s="535"/>
      <c r="F117" s="536"/>
      <c r="G117" s="539"/>
      <c r="H117" s="75"/>
      <c r="I117" s="75"/>
      <c r="J117" s="75"/>
      <c r="K117" s="75"/>
      <c r="L117" s="75"/>
      <c r="M117" s="75"/>
      <c r="N117" s="75"/>
      <c r="O117" s="75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</row>
    <row r="118" spans="1:26" ht="14.5" x14ac:dyDescent="0.35">
      <c r="A118" s="79" t="s">
        <v>208</v>
      </c>
      <c r="B118" s="550">
        <v>650</v>
      </c>
      <c r="C118" s="550">
        <v>1000</v>
      </c>
      <c r="D118" s="595">
        <v>0.85</v>
      </c>
      <c r="E118" s="535"/>
      <c r="F118" s="536"/>
      <c r="G118" s="539"/>
      <c r="H118" s="75"/>
      <c r="I118" s="75"/>
      <c r="J118" s="75"/>
      <c r="K118" s="75"/>
      <c r="L118" s="75"/>
      <c r="M118" s="75"/>
      <c r="N118" s="75"/>
      <c r="O118" s="75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</row>
    <row r="119" spans="1:26" ht="14.5" x14ac:dyDescent="0.35">
      <c r="A119" s="79" t="s">
        <v>586</v>
      </c>
      <c r="B119" s="573">
        <v>1500</v>
      </c>
      <c r="C119" s="573">
        <v>3200</v>
      </c>
      <c r="D119" s="594">
        <v>0.5</v>
      </c>
      <c r="E119" s="535"/>
      <c r="F119" s="536"/>
      <c r="G119" s="539"/>
      <c r="H119" s="75"/>
      <c r="I119" s="75"/>
      <c r="J119" s="75"/>
      <c r="K119" s="75"/>
      <c r="L119" s="75"/>
      <c r="M119" s="75"/>
      <c r="N119" s="75"/>
      <c r="O119" s="75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</row>
    <row r="120" spans="1:26" s="451" customFormat="1" ht="14.5" x14ac:dyDescent="0.35">
      <c r="A120" s="79" t="s">
        <v>606</v>
      </c>
      <c r="B120" s="573">
        <v>1000</v>
      </c>
      <c r="C120" s="573">
        <v>3000</v>
      </c>
      <c r="D120" s="594">
        <v>0</v>
      </c>
      <c r="E120" s="535"/>
      <c r="F120" s="536"/>
      <c r="G120" s="539"/>
      <c r="H120" s="75"/>
      <c r="I120" s="75"/>
      <c r="J120" s="75"/>
      <c r="K120" s="75"/>
      <c r="L120" s="75"/>
      <c r="M120" s="75"/>
      <c r="N120" s="75"/>
      <c r="O120" s="75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</row>
    <row r="121" spans="1:26" ht="14.5" x14ac:dyDescent="0.35">
      <c r="A121" s="81" t="s">
        <v>210</v>
      </c>
      <c r="B121" s="550">
        <v>1500</v>
      </c>
      <c r="C121" s="550">
        <v>1250</v>
      </c>
      <c r="D121" s="594">
        <v>0.85</v>
      </c>
      <c r="E121" s="535"/>
      <c r="F121" s="536"/>
      <c r="G121" s="539"/>
      <c r="H121" s="75"/>
      <c r="I121" s="75"/>
      <c r="J121" s="75"/>
      <c r="K121" s="75"/>
      <c r="L121" s="75"/>
      <c r="M121" s="75"/>
      <c r="N121" s="75"/>
      <c r="O121" s="75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</row>
    <row r="122" spans="1:26" ht="14.5" x14ac:dyDescent="0.35">
      <c r="A122" s="100" t="s">
        <v>211</v>
      </c>
      <c r="B122" s="574"/>
      <c r="C122" s="572"/>
      <c r="D122" s="572"/>
      <c r="E122" s="536"/>
      <c r="F122" s="536"/>
      <c r="G122" s="539"/>
      <c r="H122" s="75"/>
      <c r="I122" s="75"/>
      <c r="J122" s="75"/>
      <c r="K122" s="75"/>
      <c r="L122" s="75"/>
      <c r="M122" s="75"/>
      <c r="N122" s="75"/>
      <c r="O122" s="75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</row>
    <row r="123" spans="1:26" s="290" customFormat="1" ht="14.5" x14ac:dyDescent="0.35">
      <c r="A123" s="292" t="s">
        <v>557</v>
      </c>
      <c r="B123" s="574">
        <v>200</v>
      </c>
      <c r="C123" s="574">
        <v>200</v>
      </c>
      <c r="D123" s="572"/>
      <c r="E123" s="536"/>
      <c r="F123" s="536"/>
      <c r="G123" s="539"/>
      <c r="H123" s="75"/>
      <c r="I123" s="75"/>
      <c r="J123" s="75"/>
      <c r="K123" s="75"/>
      <c r="L123" s="75"/>
      <c r="M123" s="75"/>
      <c r="N123" s="75"/>
      <c r="O123" s="75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</row>
    <row r="124" spans="1:26" ht="14.5" x14ac:dyDescent="0.35">
      <c r="A124" s="103"/>
      <c r="B124" s="538"/>
      <c r="C124" s="538" t="s">
        <v>32</v>
      </c>
      <c r="D124" s="538"/>
      <c r="E124" s="539"/>
      <c r="F124" s="539"/>
      <c r="G124" s="539"/>
      <c r="H124" s="75"/>
      <c r="I124" s="75"/>
      <c r="J124" s="75"/>
      <c r="K124" s="75"/>
      <c r="L124" s="75"/>
      <c r="M124" s="75"/>
      <c r="N124" s="75"/>
      <c r="O124" s="75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</row>
    <row r="125" spans="1:26" ht="14.5" x14ac:dyDescent="0.35">
      <c r="A125" s="581" t="s">
        <v>577</v>
      </c>
      <c r="B125" s="582"/>
      <c r="C125" s="337"/>
      <c r="D125" s="575" t="s">
        <v>576</v>
      </c>
      <c r="E125" s="576"/>
      <c r="F125" s="539"/>
      <c r="G125" s="539"/>
      <c r="H125" s="75"/>
      <c r="I125" s="75"/>
      <c r="J125" s="75"/>
      <c r="K125" s="75"/>
      <c r="L125" s="75"/>
      <c r="M125" s="75"/>
      <c r="N125" s="75"/>
      <c r="O125" s="75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</row>
    <row r="126" spans="1:26" ht="14.5" x14ac:dyDescent="0.35">
      <c r="A126" s="583" t="s">
        <v>212</v>
      </c>
      <c r="B126" s="589">
        <v>800000</v>
      </c>
      <c r="C126" s="337"/>
      <c r="D126" s="577" t="s">
        <v>212</v>
      </c>
      <c r="E126" s="580">
        <v>1321000</v>
      </c>
      <c r="F126" s="539"/>
      <c r="G126" s="539"/>
      <c r="H126" s="75"/>
      <c r="I126" s="75"/>
      <c r="J126" s="75"/>
      <c r="K126" s="75"/>
      <c r="L126" s="75"/>
      <c r="M126" s="75"/>
      <c r="N126" s="75"/>
      <c r="O126" s="75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</row>
    <row r="127" spans="1:26" ht="26.25" customHeight="1" x14ac:dyDescent="0.35">
      <c r="A127" s="583" t="s">
        <v>213</v>
      </c>
      <c r="B127" s="584">
        <f>B129*B131</f>
        <v>280000</v>
      </c>
      <c r="C127" s="563" t="s">
        <v>568</v>
      </c>
      <c r="D127" s="539"/>
      <c r="E127" s="539"/>
      <c r="F127" s="539"/>
      <c r="G127" s="539"/>
      <c r="H127" s="75"/>
      <c r="I127" s="75"/>
      <c r="J127" s="75"/>
      <c r="K127" s="75"/>
      <c r="L127" s="75"/>
      <c r="M127" s="75"/>
      <c r="N127" s="75"/>
      <c r="O127" s="75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</row>
    <row r="128" spans="1:26" ht="14.5" x14ac:dyDescent="0.35">
      <c r="A128" s="583" t="s">
        <v>214</v>
      </c>
      <c r="B128" s="584">
        <f>B126-B127</f>
        <v>520000</v>
      </c>
      <c r="C128" s="536"/>
      <c r="D128" s="578"/>
      <c r="E128" s="539"/>
      <c r="F128" s="539"/>
      <c r="G128" s="539"/>
      <c r="H128" s="75"/>
      <c r="I128" s="75"/>
      <c r="J128" s="75"/>
      <c r="K128" s="75"/>
      <c r="L128" s="75"/>
      <c r="M128" s="75"/>
      <c r="N128" s="75"/>
      <c r="O128" s="75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</row>
    <row r="129" spans="1:26" ht="26" x14ac:dyDescent="0.35">
      <c r="A129" s="585" t="s">
        <v>561</v>
      </c>
      <c r="B129" s="584">
        <v>673</v>
      </c>
      <c r="C129" s="536"/>
      <c r="D129" s="337"/>
      <c r="E129" s="539"/>
      <c r="F129" s="539"/>
      <c r="G129" s="539"/>
      <c r="H129" s="75"/>
      <c r="I129" s="75"/>
      <c r="J129" s="75"/>
      <c r="K129" s="75"/>
      <c r="L129" s="75"/>
      <c r="M129" s="75"/>
      <c r="N129" s="75"/>
      <c r="O129" s="75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</row>
    <row r="130" spans="1:26" ht="14.5" x14ac:dyDescent="0.35">
      <c r="A130" s="586" t="s">
        <v>559</v>
      </c>
      <c r="B130" s="584">
        <f>B126/B129</f>
        <v>1188.7072808320952</v>
      </c>
      <c r="C130" s="536"/>
      <c r="D130" s="539"/>
      <c r="E130" s="539"/>
      <c r="F130" s="539"/>
      <c r="G130" s="539"/>
      <c r="H130" s="75"/>
      <c r="I130" s="75"/>
      <c r="J130" s="75"/>
      <c r="K130" s="75"/>
      <c r="L130" s="75"/>
      <c r="M130" s="75"/>
      <c r="N130" s="75"/>
      <c r="O130" s="75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</row>
    <row r="131" spans="1:26" ht="14.5" x14ac:dyDescent="0.35">
      <c r="A131" s="587" t="s">
        <v>215</v>
      </c>
      <c r="B131" s="588">
        <f>B130*0.35</f>
        <v>416.04754829123328</v>
      </c>
      <c r="C131" s="84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</row>
    <row r="132" spans="1:26" ht="14.5" x14ac:dyDescent="0.35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</row>
    <row r="133" spans="1:26" ht="14.5" x14ac:dyDescent="0.35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</row>
    <row r="134" spans="1:26" ht="14.5" x14ac:dyDescent="0.35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</row>
    <row r="135" spans="1:26" ht="14.5" x14ac:dyDescent="0.35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</row>
    <row r="136" spans="1:26" ht="14.5" x14ac:dyDescent="0.35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</row>
    <row r="137" spans="1:26" ht="14.5" x14ac:dyDescent="0.35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</row>
    <row r="138" spans="1:26" ht="14.5" x14ac:dyDescent="0.35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</row>
    <row r="139" spans="1:26" ht="14.5" x14ac:dyDescent="0.35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</row>
    <row r="140" spans="1:26" ht="14.5" x14ac:dyDescent="0.35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</row>
    <row r="141" spans="1:26" ht="14.5" x14ac:dyDescent="0.35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</row>
    <row r="142" spans="1:26" ht="14.5" x14ac:dyDescent="0.35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</row>
    <row r="143" spans="1:26" ht="14.5" x14ac:dyDescent="0.35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</row>
    <row r="144" spans="1:26" ht="14.5" x14ac:dyDescent="0.35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</row>
    <row r="145" spans="1:26" ht="14.5" x14ac:dyDescent="0.35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</row>
    <row r="146" spans="1:26" ht="14.5" x14ac:dyDescent="0.35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</row>
    <row r="147" spans="1:26" ht="14.5" x14ac:dyDescent="0.35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</row>
    <row r="148" spans="1:26" ht="14.5" x14ac:dyDescent="0.35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</row>
    <row r="149" spans="1:26" ht="14.5" x14ac:dyDescent="0.35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</row>
    <row r="150" spans="1:26" ht="14.5" x14ac:dyDescent="0.35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</row>
    <row r="151" spans="1:26" ht="14.5" x14ac:dyDescent="0.35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</row>
    <row r="152" spans="1:26" ht="14.5" x14ac:dyDescent="0.35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</row>
    <row r="153" spans="1:26" ht="14.5" x14ac:dyDescent="0.35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</row>
    <row r="154" spans="1:26" ht="14.5" x14ac:dyDescent="0.35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</row>
    <row r="155" spans="1:26" ht="14.5" x14ac:dyDescent="0.35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</row>
    <row r="156" spans="1:26" ht="14.5" x14ac:dyDescent="0.35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</row>
    <row r="157" spans="1:26" ht="14.5" x14ac:dyDescent="0.35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</row>
    <row r="158" spans="1:26" ht="14.5" x14ac:dyDescent="0.35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</row>
    <row r="159" spans="1:26" ht="14.5" x14ac:dyDescent="0.35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</row>
    <row r="160" spans="1:26" ht="14.5" x14ac:dyDescent="0.35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</row>
    <row r="161" spans="1:26" ht="14.5" x14ac:dyDescent="0.35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</row>
    <row r="162" spans="1:26" ht="14.5" x14ac:dyDescent="0.35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</row>
    <row r="163" spans="1:26" ht="14.5" x14ac:dyDescent="0.35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</row>
    <row r="164" spans="1:26" ht="14.5" x14ac:dyDescent="0.35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</row>
    <row r="165" spans="1:26" ht="14.5" x14ac:dyDescent="0.35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</row>
    <row r="166" spans="1:26" ht="14.5" x14ac:dyDescent="0.35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</row>
    <row r="167" spans="1:26" ht="14.5" x14ac:dyDescent="0.35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</row>
    <row r="168" spans="1:26" ht="14.5" x14ac:dyDescent="0.35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</row>
    <row r="169" spans="1:26" ht="14.5" x14ac:dyDescent="0.35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</row>
    <row r="170" spans="1:26" ht="14.5" x14ac:dyDescent="0.35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</row>
    <row r="171" spans="1:26" ht="14.5" x14ac:dyDescent="0.35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</row>
    <row r="172" spans="1:26" ht="14.5" x14ac:dyDescent="0.35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</row>
    <row r="173" spans="1:26" ht="14.5" x14ac:dyDescent="0.35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</row>
    <row r="174" spans="1:26" ht="14.5" x14ac:dyDescent="0.35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</row>
    <row r="175" spans="1:26" ht="14.5" x14ac:dyDescent="0.35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</row>
    <row r="176" spans="1:26" ht="14.5" x14ac:dyDescent="0.35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</row>
    <row r="177" spans="1:26" ht="14.5" x14ac:dyDescent="0.35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</row>
    <row r="178" spans="1:26" ht="14.5" x14ac:dyDescent="0.35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</row>
    <row r="179" spans="1:26" ht="14.5" x14ac:dyDescent="0.35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</row>
    <row r="180" spans="1:26" ht="14.5" x14ac:dyDescent="0.35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</row>
    <row r="181" spans="1:26" ht="14.5" x14ac:dyDescent="0.35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</row>
    <row r="182" spans="1:26" ht="14.5" x14ac:dyDescent="0.35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</row>
    <row r="183" spans="1:26" ht="14.5" x14ac:dyDescent="0.35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</row>
    <row r="184" spans="1:26" ht="14.5" x14ac:dyDescent="0.35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</row>
    <row r="185" spans="1:26" ht="14.5" x14ac:dyDescent="0.35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</row>
    <row r="186" spans="1:26" ht="14.5" x14ac:dyDescent="0.35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</row>
    <row r="187" spans="1:26" ht="14.5" x14ac:dyDescent="0.35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</row>
    <row r="188" spans="1:26" ht="14.5" x14ac:dyDescent="0.35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</row>
    <row r="189" spans="1:26" ht="14.5" x14ac:dyDescent="0.35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</row>
    <row r="190" spans="1:26" ht="14.5" x14ac:dyDescent="0.35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</row>
    <row r="191" spans="1:26" ht="14.5" x14ac:dyDescent="0.35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</row>
    <row r="192" spans="1:26" ht="14.5" x14ac:dyDescent="0.35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</row>
    <row r="193" spans="1:26" ht="14.5" x14ac:dyDescent="0.35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</row>
    <row r="194" spans="1:26" ht="14.5" x14ac:dyDescent="0.35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</row>
    <row r="195" spans="1:26" ht="14.5" x14ac:dyDescent="0.35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</row>
    <row r="196" spans="1:26" ht="14.5" x14ac:dyDescent="0.35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</row>
    <row r="197" spans="1:26" ht="14.5" x14ac:dyDescent="0.35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</row>
    <row r="198" spans="1:26" ht="14.5" x14ac:dyDescent="0.35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</row>
    <row r="199" spans="1:26" ht="14.5" x14ac:dyDescent="0.35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</row>
    <row r="200" spans="1:26" ht="14.5" x14ac:dyDescent="0.35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</row>
    <row r="201" spans="1:26" ht="14.5" x14ac:dyDescent="0.35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</row>
    <row r="202" spans="1:26" ht="14.5" x14ac:dyDescent="0.35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</row>
    <row r="203" spans="1:26" ht="14.5" x14ac:dyDescent="0.35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</row>
    <row r="204" spans="1:26" ht="14.5" x14ac:dyDescent="0.35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</row>
    <row r="205" spans="1:26" ht="14.5" x14ac:dyDescent="0.35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</row>
    <row r="206" spans="1:26" ht="14.5" x14ac:dyDescent="0.35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</row>
    <row r="207" spans="1:26" ht="14.5" x14ac:dyDescent="0.35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</row>
    <row r="208" spans="1:26" ht="14.5" x14ac:dyDescent="0.35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</row>
    <row r="209" spans="1:26" ht="14.5" x14ac:dyDescent="0.35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</row>
    <row r="210" spans="1:26" ht="14.5" x14ac:dyDescent="0.35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</row>
    <row r="211" spans="1:26" ht="14.5" x14ac:dyDescent="0.35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</row>
    <row r="212" spans="1:26" ht="14.5" x14ac:dyDescent="0.35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</row>
    <row r="213" spans="1:26" ht="14.5" x14ac:dyDescent="0.35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</row>
    <row r="214" spans="1:26" ht="14.5" x14ac:dyDescent="0.35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</row>
    <row r="215" spans="1:26" ht="14.5" x14ac:dyDescent="0.35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</row>
    <row r="216" spans="1:26" ht="14.5" x14ac:dyDescent="0.35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</row>
    <row r="217" spans="1:26" ht="14.5" x14ac:dyDescent="0.35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</row>
    <row r="218" spans="1:26" ht="14.5" x14ac:dyDescent="0.35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</row>
    <row r="219" spans="1:26" ht="14.5" x14ac:dyDescent="0.35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</row>
    <row r="220" spans="1:26" ht="14.5" x14ac:dyDescent="0.35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</row>
    <row r="221" spans="1:26" ht="14.5" x14ac:dyDescent="0.35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</row>
    <row r="222" spans="1:26" ht="14.5" x14ac:dyDescent="0.35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</row>
    <row r="223" spans="1:26" ht="14.5" x14ac:dyDescent="0.35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</row>
    <row r="224" spans="1:26" ht="14.5" x14ac:dyDescent="0.35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</row>
    <row r="225" spans="1:26" ht="14.5" x14ac:dyDescent="0.35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</row>
    <row r="226" spans="1:26" ht="14.5" x14ac:dyDescent="0.35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</row>
    <row r="227" spans="1:26" ht="14.5" x14ac:dyDescent="0.35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</row>
    <row r="228" spans="1:26" ht="14.5" x14ac:dyDescent="0.35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</row>
    <row r="229" spans="1:26" ht="14.5" x14ac:dyDescent="0.35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</row>
    <row r="230" spans="1:26" ht="14.5" x14ac:dyDescent="0.35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</row>
    <row r="231" spans="1:26" ht="14.5" x14ac:dyDescent="0.35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</row>
    <row r="232" spans="1:26" ht="14.5" x14ac:dyDescent="0.35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</row>
    <row r="233" spans="1:26" ht="14.5" x14ac:dyDescent="0.35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</row>
    <row r="234" spans="1:26" ht="14.5" x14ac:dyDescent="0.35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</row>
    <row r="235" spans="1:26" ht="14.5" x14ac:dyDescent="0.35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</row>
    <row r="236" spans="1:26" ht="14.5" x14ac:dyDescent="0.35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</row>
    <row r="237" spans="1:26" ht="14.5" x14ac:dyDescent="0.35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</row>
    <row r="238" spans="1:26" ht="14.5" x14ac:dyDescent="0.35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</row>
    <row r="239" spans="1:26" ht="14.5" x14ac:dyDescent="0.3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</row>
    <row r="240" spans="1:26" ht="14.5" x14ac:dyDescent="0.35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</row>
    <row r="241" spans="1:26" ht="14.5" x14ac:dyDescent="0.35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</row>
    <row r="242" spans="1:26" ht="14.5" x14ac:dyDescent="0.35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</row>
    <row r="243" spans="1:26" ht="14.5" x14ac:dyDescent="0.35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</row>
    <row r="244" spans="1:26" ht="14.5" x14ac:dyDescent="0.35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</row>
    <row r="245" spans="1:26" ht="14.5" x14ac:dyDescent="0.35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</row>
    <row r="246" spans="1:26" ht="14.5" x14ac:dyDescent="0.35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</row>
    <row r="247" spans="1:26" ht="14.5" x14ac:dyDescent="0.35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</row>
    <row r="248" spans="1:26" ht="14.5" x14ac:dyDescent="0.35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</row>
    <row r="249" spans="1:26" ht="14.5" x14ac:dyDescent="0.35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</row>
    <row r="250" spans="1:26" ht="14.5" x14ac:dyDescent="0.35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</row>
    <row r="251" spans="1:26" ht="14.5" x14ac:dyDescent="0.35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</row>
    <row r="252" spans="1:26" ht="14.5" x14ac:dyDescent="0.35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</row>
    <row r="253" spans="1:26" ht="14.5" x14ac:dyDescent="0.35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</row>
    <row r="254" spans="1:26" ht="14.5" x14ac:dyDescent="0.35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</row>
    <row r="255" spans="1:26" ht="14.5" x14ac:dyDescent="0.35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</row>
    <row r="256" spans="1:26" ht="14.5" x14ac:dyDescent="0.35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</row>
    <row r="257" spans="1:26" ht="14.5" x14ac:dyDescent="0.35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</row>
    <row r="258" spans="1:26" ht="14.5" x14ac:dyDescent="0.35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</row>
    <row r="259" spans="1:26" ht="14.5" x14ac:dyDescent="0.35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</row>
    <row r="260" spans="1:26" ht="14.5" x14ac:dyDescent="0.35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</row>
    <row r="261" spans="1:26" ht="14.5" x14ac:dyDescent="0.35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</row>
    <row r="262" spans="1:26" ht="14.5" x14ac:dyDescent="0.35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</row>
    <row r="263" spans="1:26" ht="14.5" x14ac:dyDescent="0.35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</row>
    <row r="264" spans="1:26" ht="14.5" x14ac:dyDescent="0.35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</row>
    <row r="265" spans="1:26" ht="14.5" x14ac:dyDescent="0.35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</row>
    <row r="266" spans="1:26" ht="14.5" x14ac:dyDescent="0.35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</row>
    <row r="267" spans="1:26" ht="14.5" x14ac:dyDescent="0.35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</row>
    <row r="268" spans="1:26" ht="14.5" x14ac:dyDescent="0.35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</row>
    <row r="269" spans="1:26" ht="14.5" x14ac:dyDescent="0.35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</row>
    <row r="270" spans="1:26" ht="14.5" x14ac:dyDescent="0.35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</row>
    <row r="271" spans="1:26" ht="14.5" x14ac:dyDescent="0.35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</row>
    <row r="272" spans="1:26" ht="14.5" x14ac:dyDescent="0.35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</row>
    <row r="273" spans="1:26" ht="14.5" x14ac:dyDescent="0.35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</row>
    <row r="274" spans="1:26" ht="14.5" x14ac:dyDescent="0.35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</row>
    <row r="275" spans="1:26" ht="14.5" x14ac:dyDescent="0.35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</row>
    <row r="276" spans="1:26" ht="14.5" x14ac:dyDescent="0.35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</row>
    <row r="277" spans="1:26" ht="14.5" x14ac:dyDescent="0.35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</row>
    <row r="278" spans="1:26" ht="14.5" x14ac:dyDescent="0.35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</row>
    <row r="279" spans="1:26" ht="14.5" x14ac:dyDescent="0.35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</row>
    <row r="280" spans="1:26" ht="14.5" x14ac:dyDescent="0.35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</row>
    <row r="281" spans="1:26" ht="14.5" x14ac:dyDescent="0.35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</row>
    <row r="282" spans="1:26" ht="14.5" x14ac:dyDescent="0.35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</row>
    <row r="283" spans="1:26" ht="14.5" x14ac:dyDescent="0.35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</row>
    <row r="284" spans="1:26" ht="14.5" x14ac:dyDescent="0.35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</row>
    <row r="285" spans="1:26" ht="14.5" x14ac:dyDescent="0.35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</row>
    <row r="286" spans="1:26" ht="14.5" x14ac:dyDescent="0.35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</row>
    <row r="287" spans="1:26" ht="14.5" x14ac:dyDescent="0.35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</row>
    <row r="288" spans="1:26" ht="14.5" x14ac:dyDescent="0.35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</row>
    <row r="289" spans="1:26" ht="14.5" x14ac:dyDescent="0.35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</row>
    <row r="290" spans="1:26" ht="14.5" x14ac:dyDescent="0.35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</row>
    <row r="291" spans="1:26" ht="14.5" x14ac:dyDescent="0.35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</row>
    <row r="292" spans="1:26" ht="14.5" x14ac:dyDescent="0.35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</row>
    <row r="293" spans="1:26" ht="14.5" x14ac:dyDescent="0.35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</row>
    <row r="294" spans="1:26" ht="14.5" x14ac:dyDescent="0.35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</row>
    <row r="295" spans="1:26" ht="14.5" x14ac:dyDescent="0.35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</row>
    <row r="296" spans="1:26" ht="14.5" x14ac:dyDescent="0.35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</row>
    <row r="297" spans="1:26" ht="14.5" x14ac:dyDescent="0.35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</row>
    <row r="298" spans="1:26" ht="14.5" x14ac:dyDescent="0.35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</row>
    <row r="299" spans="1:26" ht="14.5" x14ac:dyDescent="0.35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</row>
    <row r="300" spans="1:26" ht="14.5" x14ac:dyDescent="0.35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</row>
    <row r="301" spans="1:26" ht="14.5" x14ac:dyDescent="0.35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</row>
    <row r="302" spans="1:26" ht="14.5" x14ac:dyDescent="0.35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</row>
    <row r="303" spans="1:26" ht="14.5" x14ac:dyDescent="0.35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</row>
    <row r="304" spans="1:26" ht="14.5" x14ac:dyDescent="0.35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</row>
    <row r="305" spans="1:26" ht="14.5" x14ac:dyDescent="0.35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</row>
    <row r="306" spans="1:26" ht="14.5" x14ac:dyDescent="0.35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</row>
    <row r="307" spans="1:26" ht="14.5" x14ac:dyDescent="0.35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</row>
    <row r="308" spans="1:26" ht="14.5" x14ac:dyDescent="0.35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</row>
    <row r="309" spans="1:26" ht="14.5" x14ac:dyDescent="0.35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</row>
    <row r="310" spans="1:26" ht="14.5" x14ac:dyDescent="0.35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</row>
    <row r="311" spans="1:26" ht="14.5" x14ac:dyDescent="0.35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</row>
    <row r="312" spans="1:26" ht="14.5" x14ac:dyDescent="0.35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</row>
    <row r="313" spans="1:26" ht="14.5" x14ac:dyDescent="0.35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</row>
    <row r="314" spans="1:26" ht="14.5" x14ac:dyDescent="0.35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</row>
    <row r="315" spans="1:26" ht="14.5" x14ac:dyDescent="0.35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</row>
    <row r="316" spans="1:26" ht="14.5" x14ac:dyDescent="0.35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</row>
    <row r="317" spans="1:26" ht="14.5" x14ac:dyDescent="0.35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</row>
    <row r="318" spans="1:26" ht="14.5" x14ac:dyDescent="0.35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</row>
    <row r="319" spans="1:26" ht="14.5" x14ac:dyDescent="0.35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</row>
    <row r="320" spans="1:26" ht="14.5" x14ac:dyDescent="0.35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</row>
    <row r="321" spans="1:26" ht="14.5" x14ac:dyDescent="0.35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</row>
    <row r="322" spans="1:26" ht="14.5" x14ac:dyDescent="0.35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</row>
    <row r="323" spans="1:26" ht="14.5" x14ac:dyDescent="0.35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</row>
    <row r="324" spans="1:26" ht="14.5" x14ac:dyDescent="0.35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</row>
    <row r="325" spans="1:26" ht="14.5" x14ac:dyDescent="0.35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</row>
    <row r="326" spans="1:26" ht="14.5" x14ac:dyDescent="0.35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</row>
    <row r="327" spans="1:26" ht="14.5" x14ac:dyDescent="0.35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</row>
    <row r="328" spans="1:26" ht="14.5" x14ac:dyDescent="0.35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</row>
    <row r="329" spans="1:26" ht="14.5" x14ac:dyDescent="0.35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</row>
    <row r="330" spans="1:26" ht="14.5" x14ac:dyDescent="0.35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</row>
    <row r="331" spans="1:26" ht="14.5" x14ac:dyDescent="0.35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</row>
    <row r="332" spans="1:26" ht="14.5" x14ac:dyDescent="0.35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</row>
    <row r="333" spans="1:26" ht="14.5" x14ac:dyDescent="0.35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</row>
    <row r="334" spans="1:26" ht="14.5" x14ac:dyDescent="0.35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</row>
    <row r="335" spans="1:26" ht="14.5" x14ac:dyDescent="0.35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</row>
    <row r="336" spans="1:26" ht="14.5" x14ac:dyDescent="0.35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</row>
    <row r="337" spans="1:26" ht="14.5" x14ac:dyDescent="0.35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</row>
    <row r="338" spans="1:26" ht="14.5" x14ac:dyDescent="0.35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</row>
    <row r="339" spans="1:26" ht="14.5" x14ac:dyDescent="0.35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</row>
    <row r="340" spans="1:26" ht="14.5" x14ac:dyDescent="0.35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</row>
    <row r="341" spans="1:26" ht="14.5" x14ac:dyDescent="0.35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</row>
    <row r="342" spans="1:26" ht="14.5" x14ac:dyDescent="0.35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</row>
    <row r="343" spans="1:26" ht="14.5" x14ac:dyDescent="0.35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</row>
    <row r="344" spans="1:26" ht="14.5" x14ac:dyDescent="0.35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</row>
    <row r="345" spans="1:26" ht="14.5" x14ac:dyDescent="0.35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</row>
    <row r="346" spans="1:26" ht="14.5" x14ac:dyDescent="0.35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</row>
    <row r="347" spans="1:26" ht="14.5" x14ac:dyDescent="0.35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</row>
    <row r="348" spans="1:26" ht="14.5" x14ac:dyDescent="0.35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</row>
    <row r="349" spans="1:26" ht="14.5" x14ac:dyDescent="0.35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</row>
    <row r="350" spans="1:26" ht="14.5" x14ac:dyDescent="0.35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</row>
    <row r="351" spans="1:26" ht="14.5" x14ac:dyDescent="0.35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</row>
    <row r="352" spans="1:26" ht="14.5" x14ac:dyDescent="0.35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</row>
    <row r="353" spans="1:26" ht="14.5" x14ac:dyDescent="0.35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</row>
    <row r="354" spans="1:26" ht="14.5" x14ac:dyDescent="0.35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</row>
    <row r="355" spans="1:26" ht="14.5" x14ac:dyDescent="0.35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</row>
    <row r="356" spans="1:26" ht="14.5" x14ac:dyDescent="0.35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</row>
    <row r="357" spans="1:26" ht="14.5" x14ac:dyDescent="0.35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</row>
    <row r="358" spans="1:26" ht="14.5" x14ac:dyDescent="0.35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</row>
    <row r="359" spans="1:26" ht="14.5" x14ac:dyDescent="0.35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</row>
    <row r="360" spans="1:26" ht="14.5" x14ac:dyDescent="0.35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</row>
    <row r="361" spans="1:26" ht="14.5" x14ac:dyDescent="0.35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</row>
    <row r="362" spans="1:26" ht="14.5" x14ac:dyDescent="0.35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</row>
    <row r="363" spans="1:26" ht="14.5" x14ac:dyDescent="0.35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</row>
    <row r="364" spans="1:26" ht="14.5" x14ac:dyDescent="0.35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</row>
    <row r="365" spans="1:26" ht="14.5" x14ac:dyDescent="0.35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</row>
    <row r="366" spans="1:26" ht="14.5" x14ac:dyDescent="0.3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</row>
    <row r="367" spans="1:26" ht="14.5" x14ac:dyDescent="0.35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</row>
    <row r="368" spans="1:26" ht="14.5" x14ac:dyDescent="0.35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</row>
    <row r="369" spans="1:26" ht="14.5" x14ac:dyDescent="0.35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</row>
    <row r="370" spans="1:26" ht="14.5" x14ac:dyDescent="0.35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</row>
    <row r="371" spans="1:26" ht="14.5" x14ac:dyDescent="0.35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</row>
    <row r="372" spans="1:26" ht="14.5" x14ac:dyDescent="0.35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</row>
    <row r="373" spans="1:26" ht="14.5" x14ac:dyDescent="0.35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</row>
    <row r="374" spans="1:26" ht="14.5" x14ac:dyDescent="0.35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</row>
    <row r="375" spans="1:26" ht="14.5" x14ac:dyDescent="0.35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</row>
    <row r="376" spans="1:26" ht="14.5" x14ac:dyDescent="0.35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</row>
    <row r="377" spans="1:26" ht="14.5" x14ac:dyDescent="0.35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</row>
    <row r="378" spans="1:26" ht="14.5" x14ac:dyDescent="0.35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</row>
    <row r="379" spans="1:26" ht="14.5" x14ac:dyDescent="0.35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</row>
    <row r="380" spans="1:26" ht="14.5" x14ac:dyDescent="0.35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</row>
    <row r="381" spans="1:26" ht="14.5" x14ac:dyDescent="0.35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</row>
    <row r="382" spans="1:26" ht="14.5" x14ac:dyDescent="0.35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</row>
    <row r="383" spans="1:26" ht="14.5" x14ac:dyDescent="0.35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</row>
    <row r="384" spans="1:26" ht="14.5" x14ac:dyDescent="0.35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</row>
    <row r="385" spans="1:26" ht="14.5" x14ac:dyDescent="0.35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</row>
    <row r="386" spans="1:26" ht="14.5" x14ac:dyDescent="0.35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</row>
    <row r="387" spans="1:26" ht="14.5" x14ac:dyDescent="0.35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</row>
    <row r="388" spans="1:26" ht="14.5" x14ac:dyDescent="0.35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</row>
    <row r="389" spans="1:26" ht="14.5" x14ac:dyDescent="0.35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</row>
    <row r="390" spans="1:26" ht="14.5" x14ac:dyDescent="0.35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</row>
    <row r="391" spans="1:26" ht="14.5" x14ac:dyDescent="0.35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</row>
    <row r="392" spans="1:26" ht="14.5" x14ac:dyDescent="0.35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</row>
    <row r="393" spans="1:26" ht="14.5" x14ac:dyDescent="0.35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</row>
    <row r="394" spans="1:26" ht="14.5" x14ac:dyDescent="0.35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</row>
    <row r="395" spans="1:26" ht="14.5" x14ac:dyDescent="0.35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</row>
    <row r="396" spans="1:26" ht="14.5" x14ac:dyDescent="0.35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</row>
    <row r="397" spans="1:26" ht="14.5" x14ac:dyDescent="0.35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</row>
    <row r="398" spans="1:26" ht="14.5" x14ac:dyDescent="0.35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</row>
    <row r="399" spans="1:26" ht="14.5" x14ac:dyDescent="0.35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</row>
    <row r="400" spans="1:26" ht="14.5" x14ac:dyDescent="0.35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</row>
    <row r="401" spans="1:26" ht="14.5" x14ac:dyDescent="0.35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</row>
    <row r="402" spans="1:26" ht="14.5" x14ac:dyDescent="0.35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</row>
    <row r="403" spans="1:26" ht="14.5" x14ac:dyDescent="0.35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</row>
    <row r="404" spans="1:26" ht="14.5" x14ac:dyDescent="0.35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</row>
    <row r="405" spans="1:26" ht="14.5" x14ac:dyDescent="0.35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</row>
    <row r="406" spans="1:26" ht="14.5" x14ac:dyDescent="0.35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</row>
    <row r="407" spans="1:26" ht="14.5" x14ac:dyDescent="0.35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</row>
    <row r="408" spans="1:26" ht="14.5" x14ac:dyDescent="0.35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</row>
    <row r="409" spans="1:26" ht="14.5" x14ac:dyDescent="0.35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</row>
    <row r="410" spans="1:26" ht="14.5" x14ac:dyDescent="0.35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</row>
    <row r="411" spans="1:26" ht="14.5" x14ac:dyDescent="0.35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</row>
    <row r="412" spans="1:26" ht="14.5" x14ac:dyDescent="0.35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</row>
    <row r="413" spans="1:26" ht="14.5" x14ac:dyDescent="0.35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</row>
    <row r="414" spans="1:26" ht="14.5" x14ac:dyDescent="0.35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</row>
    <row r="415" spans="1:26" ht="14.5" x14ac:dyDescent="0.35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</row>
    <row r="416" spans="1:26" ht="14.5" x14ac:dyDescent="0.35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</row>
    <row r="417" spans="1:26" ht="14.5" x14ac:dyDescent="0.35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</row>
    <row r="418" spans="1:26" ht="14.5" x14ac:dyDescent="0.35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</row>
    <row r="419" spans="1:26" ht="14.5" x14ac:dyDescent="0.35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</row>
    <row r="420" spans="1:26" ht="14.5" x14ac:dyDescent="0.35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</row>
    <row r="421" spans="1:26" ht="14.5" x14ac:dyDescent="0.35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</row>
    <row r="422" spans="1:26" ht="14.5" x14ac:dyDescent="0.35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</row>
    <row r="423" spans="1:26" ht="14.5" x14ac:dyDescent="0.35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</row>
    <row r="424" spans="1:26" ht="14.5" x14ac:dyDescent="0.35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</row>
    <row r="425" spans="1:26" ht="14.5" x14ac:dyDescent="0.35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</row>
    <row r="426" spans="1:26" ht="14.5" x14ac:dyDescent="0.35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</row>
    <row r="427" spans="1:26" ht="14.5" x14ac:dyDescent="0.35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</row>
    <row r="428" spans="1:26" ht="14.5" x14ac:dyDescent="0.35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</row>
    <row r="429" spans="1:26" ht="14.5" x14ac:dyDescent="0.35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</row>
    <row r="430" spans="1:26" ht="14.5" x14ac:dyDescent="0.35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</row>
    <row r="431" spans="1:26" ht="14.5" x14ac:dyDescent="0.35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</row>
    <row r="432" spans="1:26" ht="14.5" x14ac:dyDescent="0.35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</row>
    <row r="433" spans="1:26" ht="14.5" x14ac:dyDescent="0.35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</row>
    <row r="434" spans="1:26" ht="14.5" x14ac:dyDescent="0.35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</row>
    <row r="435" spans="1:26" ht="14.5" x14ac:dyDescent="0.35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</row>
    <row r="436" spans="1:26" ht="14.5" x14ac:dyDescent="0.35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</row>
    <row r="437" spans="1:26" ht="14.5" x14ac:dyDescent="0.35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</row>
    <row r="438" spans="1:26" ht="14.5" x14ac:dyDescent="0.35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</row>
    <row r="439" spans="1:26" ht="14.5" x14ac:dyDescent="0.35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</row>
    <row r="440" spans="1:26" ht="14.5" x14ac:dyDescent="0.35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</row>
    <row r="441" spans="1:26" ht="14.5" x14ac:dyDescent="0.35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</row>
    <row r="442" spans="1:26" ht="14.5" x14ac:dyDescent="0.35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</row>
    <row r="443" spans="1:26" ht="14.5" x14ac:dyDescent="0.35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</row>
    <row r="444" spans="1:26" ht="14.5" x14ac:dyDescent="0.35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</row>
    <row r="445" spans="1:26" ht="14.5" x14ac:dyDescent="0.35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</row>
    <row r="446" spans="1:26" ht="14.5" x14ac:dyDescent="0.35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</row>
    <row r="447" spans="1:26" ht="14.5" x14ac:dyDescent="0.35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</row>
    <row r="448" spans="1:26" ht="14.5" x14ac:dyDescent="0.35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</row>
    <row r="449" spans="1:26" ht="14.5" x14ac:dyDescent="0.35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</row>
    <row r="450" spans="1:26" ht="14.5" x14ac:dyDescent="0.35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</row>
    <row r="451" spans="1:26" ht="14.5" x14ac:dyDescent="0.35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</row>
    <row r="452" spans="1:26" ht="14.5" x14ac:dyDescent="0.35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</row>
    <row r="453" spans="1:26" ht="14.5" x14ac:dyDescent="0.35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</row>
    <row r="454" spans="1:26" ht="14.5" x14ac:dyDescent="0.35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</row>
    <row r="455" spans="1:26" ht="14.5" x14ac:dyDescent="0.35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</row>
    <row r="456" spans="1:26" ht="14.5" x14ac:dyDescent="0.35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</row>
    <row r="457" spans="1:26" ht="14.5" x14ac:dyDescent="0.35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</row>
    <row r="458" spans="1:26" ht="14.5" x14ac:dyDescent="0.35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</row>
    <row r="459" spans="1:26" ht="14.5" x14ac:dyDescent="0.35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</row>
    <row r="460" spans="1:26" ht="14.5" x14ac:dyDescent="0.35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</row>
    <row r="461" spans="1:26" ht="14.5" x14ac:dyDescent="0.35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</row>
    <row r="462" spans="1:26" ht="14.5" x14ac:dyDescent="0.3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</row>
    <row r="463" spans="1:26" ht="14.5" x14ac:dyDescent="0.35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</row>
    <row r="464" spans="1:26" ht="14.5" x14ac:dyDescent="0.35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</row>
    <row r="465" spans="1:26" ht="14.5" x14ac:dyDescent="0.35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</row>
    <row r="466" spans="1:26" ht="14.5" x14ac:dyDescent="0.35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</row>
    <row r="467" spans="1:26" ht="14.5" x14ac:dyDescent="0.3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</row>
    <row r="468" spans="1:26" ht="14.5" x14ac:dyDescent="0.35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</row>
    <row r="469" spans="1:26" ht="14.5" x14ac:dyDescent="0.35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</row>
    <row r="470" spans="1:26" ht="14.5" x14ac:dyDescent="0.35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</row>
    <row r="471" spans="1:26" ht="14.5" x14ac:dyDescent="0.35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</row>
    <row r="472" spans="1:26" ht="14.5" x14ac:dyDescent="0.35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</row>
    <row r="473" spans="1:26" ht="14.5" x14ac:dyDescent="0.35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</row>
    <row r="474" spans="1:26" ht="14.5" x14ac:dyDescent="0.35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</row>
    <row r="475" spans="1:26" ht="14.5" x14ac:dyDescent="0.35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</row>
    <row r="476" spans="1:26" ht="14.5" x14ac:dyDescent="0.35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</row>
    <row r="477" spans="1:26" ht="14.5" x14ac:dyDescent="0.35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</row>
    <row r="478" spans="1:26" ht="14.5" x14ac:dyDescent="0.35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</row>
    <row r="479" spans="1:26" ht="14.5" x14ac:dyDescent="0.35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</row>
    <row r="480" spans="1:26" ht="14.5" x14ac:dyDescent="0.35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</row>
    <row r="481" spans="1:26" ht="14.5" x14ac:dyDescent="0.35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</row>
    <row r="482" spans="1:26" ht="14.5" x14ac:dyDescent="0.35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</row>
    <row r="483" spans="1:26" ht="14.5" x14ac:dyDescent="0.35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</row>
    <row r="484" spans="1:26" ht="14.5" x14ac:dyDescent="0.35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</row>
    <row r="485" spans="1:26" ht="14.5" x14ac:dyDescent="0.35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</row>
    <row r="486" spans="1:26" ht="14.5" x14ac:dyDescent="0.35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</row>
    <row r="487" spans="1:26" ht="14.5" x14ac:dyDescent="0.35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</row>
    <row r="488" spans="1:26" ht="14.5" x14ac:dyDescent="0.35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</row>
    <row r="489" spans="1:26" ht="14.5" x14ac:dyDescent="0.35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</row>
    <row r="490" spans="1:26" ht="14.5" x14ac:dyDescent="0.35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</row>
    <row r="491" spans="1:26" ht="14.5" x14ac:dyDescent="0.35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</row>
    <row r="492" spans="1:26" ht="14.5" x14ac:dyDescent="0.35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</row>
    <row r="493" spans="1:26" ht="14.5" x14ac:dyDescent="0.35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</row>
    <row r="494" spans="1:26" ht="14.5" x14ac:dyDescent="0.35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</row>
    <row r="495" spans="1:26" ht="14.5" x14ac:dyDescent="0.35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</row>
    <row r="496" spans="1:26" ht="14.5" x14ac:dyDescent="0.35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</row>
    <row r="497" spans="1:26" ht="14.5" x14ac:dyDescent="0.35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</row>
    <row r="498" spans="1:26" ht="14.5" x14ac:dyDescent="0.35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</row>
    <row r="499" spans="1:26" ht="14.5" x14ac:dyDescent="0.35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</row>
    <row r="500" spans="1:26" ht="14.5" x14ac:dyDescent="0.35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</row>
    <row r="501" spans="1:26" ht="14.5" x14ac:dyDescent="0.35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</row>
    <row r="502" spans="1:26" ht="14.5" x14ac:dyDescent="0.35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</row>
    <row r="503" spans="1:26" ht="14.5" x14ac:dyDescent="0.35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</row>
    <row r="504" spans="1:26" ht="14.5" x14ac:dyDescent="0.35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</row>
    <row r="505" spans="1:26" ht="14.5" x14ac:dyDescent="0.35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</row>
    <row r="506" spans="1:26" ht="14.5" x14ac:dyDescent="0.35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</row>
    <row r="507" spans="1:26" ht="14.5" x14ac:dyDescent="0.35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</row>
    <row r="508" spans="1:26" ht="14.5" x14ac:dyDescent="0.35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</row>
    <row r="509" spans="1:26" ht="14.5" x14ac:dyDescent="0.35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</row>
    <row r="510" spans="1:26" ht="14.5" x14ac:dyDescent="0.35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</row>
    <row r="511" spans="1:26" ht="14.5" x14ac:dyDescent="0.35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</row>
    <row r="512" spans="1:26" ht="14.5" x14ac:dyDescent="0.35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</row>
    <row r="513" spans="1:26" ht="14.5" x14ac:dyDescent="0.35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</row>
    <row r="514" spans="1:26" ht="14.5" x14ac:dyDescent="0.35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</row>
    <row r="515" spans="1:26" ht="14.5" x14ac:dyDescent="0.35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</row>
    <row r="516" spans="1:26" ht="14.5" x14ac:dyDescent="0.35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</row>
    <row r="517" spans="1:26" ht="14.5" x14ac:dyDescent="0.35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</row>
    <row r="518" spans="1:26" ht="14.5" x14ac:dyDescent="0.35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</row>
    <row r="519" spans="1:26" ht="14.5" x14ac:dyDescent="0.35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</row>
    <row r="520" spans="1:26" ht="14.5" x14ac:dyDescent="0.35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</row>
    <row r="521" spans="1:26" ht="14.5" x14ac:dyDescent="0.35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</row>
    <row r="522" spans="1:26" ht="14.5" x14ac:dyDescent="0.35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</row>
    <row r="523" spans="1:26" ht="14.5" x14ac:dyDescent="0.35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</row>
    <row r="524" spans="1:26" ht="14.5" x14ac:dyDescent="0.35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</row>
    <row r="525" spans="1:26" ht="14.5" x14ac:dyDescent="0.35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</row>
    <row r="526" spans="1:26" ht="14.5" x14ac:dyDescent="0.35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</row>
    <row r="527" spans="1:26" ht="14.5" x14ac:dyDescent="0.35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</row>
    <row r="528" spans="1:26" ht="14.5" x14ac:dyDescent="0.35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</row>
    <row r="529" spans="1:26" ht="14.5" x14ac:dyDescent="0.35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</row>
    <row r="530" spans="1:26" ht="14.5" x14ac:dyDescent="0.35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</row>
    <row r="531" spans="1:26" ht="14.5" x14ac:dyDescent="0.35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</row>
    <row r="532" spans="1:26" ht="14.5" x14ac:dyDescent="0.35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</row>
    <row r="533" spans="1:26" ht="14.5" x14ac:dyDescent="0.35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</row>
    <row r="534" spans="1:26" ht="14.5" x14ac:dyDescent="0.35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</row>
    <row r="535" spans="1:26" ht="14.5" x14ac:dyDescent="0.35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</row>
    <row r="536" spans="1:26" ht="14.5" x14ac:dyDescent="0.35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</row>
    <row r="537" spans="1:26" ht="14.5" x14ac:dyDescent="0.35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</row>
    <row r="538" spans="1:26" ht="14.5" x14ac:dyDescent="0.35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</row>
    <row r="539" spans="1:26" ht="14.5" x14ac:dyDescent="0.35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</row>
    <row r="540" spans="1:26" ht="14.5" x14ac:dyDescent="0.35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</row>
    <row r="541" spans="1:26" ht="14.5" x14ac:dyDescent="0.35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</row>
    <row r="542" spans="1:26" ht="14.5" x14ac:dyDescent="0.35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</row>
    <row r="543" spans="1:26" ht="14.5" x14ac:dyDescent="0.35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</row>
    <row r="544" spans="1:26" ht="14.5" x14ac:dyDescent="0.35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</row>
    <row r="545" spans="1:26" ht="14.5" x14ac:dyDescent="0.3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</row>
    <row r="546" spans="1:26" ht="14.5" x14ac:dyDescent="0.3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</row>
    <row r="547" spans="1:26" ht="14.5" x14ac:dyDescent="0.3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</row>
    <row r="548" spans="1:26" ht="14.5" x14ac:dyDescent="0.3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</row>
    <row r="549" spans="1:26" ht="14.5" x14ac:dyDescent="0.3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</row>
    <row r="550" spans="1:26" ht="14.5" x14ac:dyDescent="0.3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</row>
    <row r="551" spans="1:26" ht="14.5" x14ac:dyDescent="0.3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</row>
    <row r="552" spans="1:26" ht="14.5" x14ac:dyDescent="0.3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</row>
    <row r="553" spans="1:26" ht="14.5" x14ac:dyDescent="0.3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</row>
    <row r="554" spans="1:26" ht="14.5" x14ac:dyDescent="0.3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</row>
    <row r="555" spans="1:26" ht="14.5" x14ac:dyDescent="0.3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</row>
    <row r="556" spans="1:26" ht="14.5" x14ac:dyDescent="0.3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</row>
    <row r="557" spans="1:26" ht="14.5" x14ac:dyDescent="0.3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</row>
    <row r="558" spans="1:26" ht="14.5" x14ac:dyDescent="0.3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</row>
    <row r="559" spans="1:26" ht="14.5" x14ac:dyDescent="0.3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</row>
    <row r="560" spans="1:26" ht="14.5" x14ac:dyDescent="0.3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</row>
    <row r="561" spans="1:26" ht="14.5" x14ac:dyDescent="0.3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</row>
    <row r="562" spans="1:26" ht="14.5" x14ac:dyDescent="0.3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</row>
    <row r="563" spans="1:26" ht="14.5" x14ac:dyDescent="0.3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</row>
    <row r="564" spans="1:26" ht="14.5" x14ac:dyDescent="0.3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</row>
    <row r="565" spans="1:26" ht="14.5" x14ac:dyDescent="0.3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</row>
    <row r="566" spans="1:26" ht="14.5" x14ac:dyDescent="0.3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</row>
    <row r="567" spans="1:26" ht="14.5" x14ac:dyDescent="0.3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</row>
    <row r="568" spans="1:26" ht="14.5" x14ac:dyDescent="0.3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</row>
    <row r="569" spans="1:26" ht="14.5" x14ac:dyDescent="0.3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</row>
    <row r="570" spans="1:26" ht="14.5" x14ac:dyDescent="0.3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</row>
    <row r="571" spans="1:26" ht="14.5" x14ac:dyDescent="0.3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</row>
    <row r="572" spans="1:26" ht="14.5" x14ac:dyDescent="0.3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</row>
    <row r="573" spans="1:26" ht="14.5" x14ac:dyDescent="0.3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</row>
    <row r="574" spans="1:26" ht="14.5" x14ac:dyDescent="0.3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</row>
    <row r="575" spans="1:26" ht="14.5" x14ac:dyDescent="0.3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</row>
    <row r="576" spans="1:26" ht="14.5" x14ac:dyDescent="0.3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</row>
    <row r="577" spans="1:26" ht="14.5" x14ac:dyDescent="0.3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</row>
    <row r="578" spans="1:26" ht="14.5" x14ac:dyDescent="0.3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</row>
    <row r="579" spans="1:26" ht="14.5" x14ac:dyDescent="0.3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</row>
    <row r="580" spans="1:26" ht="14.5" x14ac:dyDescent="0.3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</row>
    <row r="581" spans="1:26" ht="14.5" x14ac:dyDescent="0.3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</row>
    <row r="582" spans="1:26" ht="14.5" x14ac:dyDescent="0.3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</row>
    <row r="583" spans="1:26" ht="14.5" x14ac:dyDescent="0.3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</row>
    <row r="584" spans="1:26" ht="14.5" x14ac:dyDescent="0.3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</row>
    <row r="585" spans="1:26" ht="14.5" x14ac:dyDescent="0.3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</row>
    <row r="586" spans="1:26" ht="14.5" x14ac:dyDescent="0.3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</row>
    <row r="587" spans="1:26" ht="14.5" x14ac:dyDescent="0.3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</row>
    <row r="588" spans="1:26" ht="14.5" x14ac:dyDescent="0.3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</row>
    <row r="589" spans="1:26" ht="14.5" x14ac:dyDescent="0.3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</row>
    <row r="590" spans="1:26" ht="14.5" x14ac:dyDescent="0.3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</row>
    <row r="591" spans="1:26" ht="14.5" x14ac:dyDescent="0.3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</row>
    <row r="592" spans="1:26" ht="14.5" x14ac:dyDescent="0.3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</row>
    <row r="593" spans="1:26" ht="14.5" x14ac:dyDescent="0.3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</row>
    <row r="594" spans="1:26" ht="14.5" x14ac:dyDescent="0.3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</row>
    <row r="595" spans="1:26" ht="14.5" x14ac:dyDescent="0.3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</row>
    <row r="596" spans="1:26" ht="14.5" x14ac:dyDescent="0.3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</row>
    <row r="597" spans="1:26" ht="14.5" x14ac:dyDescent="0.3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</row>
    <row r="598" spans="1:26" ht="14.5" x14ac:dyDescent="0.3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</row>
    <row r="599" spans="1:26" ht="14.5" x14ac:dyDescent="0.3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</row>
    <row r="600" spans="1:26" ht="14.5" x14ac:dyDescent="0.35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</row>
    <row r="601" spans="1:26" ht="14.5" x14ac:dyDescent="0.35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</row>
    <row r="602" spans="1:26" ht="14.5" x14ac:dyDescent="0.35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</row>
    <row r="603" spans="1:26" ht="14.5" x14ac:dyDescent="0.35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</row>
    <row r="604" spans="1:26" ht="14.5" x14ac:dyDescent="0.35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</row>
    <row r="605" spans="1:26" ht="14.5" x14ac:dyDescent="0.35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</row>
    <row r="606" spans="1:26" ht="14.5" x14ac:dyDescent="0.35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</row>
    <row r="607" spans="1:26" ht="14.5" x14ac:dyDescent="0.35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</row>
    <row r="608" spans="1:26" ht="14.5" x14ac:dyDescent="0.35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</row>
    <row r="609" spans="1:26" ht="14.5" x14ac:dyDescent="0.35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</row>
    <row r="610" spans="1:26" ht="14.5" x14ac:dyDescent="0.35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</row>
    <row r="611" spans="1:26" ht="14.5" x14ac:dyDescent="0.35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</row>
    <row r="612" spans="1:26" ht="14.5" x14ac:dyDescent="0.35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</row>
    <row r="613" spans="1:26" ht="14.5" x14ac:dyDescent="0.35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</row>
    <row r="614" spans="1:26" ht="14.5" x14ac:dyDescent="0.35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</row>
    <row r="615" spans="1:26" ht="14.5" x14ac:dyDescent="0.3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</row>
    <row r="616" spans="1:26" ht="14.5" x14ac:dyDescent="0.35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</row>
    <row r="617" spans="1:26" ht="14.5" x14ac:dyDescent="0.35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</row>
    <row r="618" spans="1:26" ht="14.5" x14ac:dyDescent="0.35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</row>
    <row r="619" spans="1:26" ht="14.5" x14ac:dyDescent="0.35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</row>
    <row r="620" spans="1:26" ht="14.5" x14ac:dyDescent="0.35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</row>
    <row r="621" spans="1:26" ht="14.5" x14ac:dyDescent="0.35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</row>
    <row r="622" spans="1:26" ht="14.5" x14ac:dyDescent="0.35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</row>
    <row r="623" spans="1:26" ht="14.5" x14ac:dyDescent="0.35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</row>
    <row r="624" spans="1:26" ht="14.5" x14ac:dyDescent="0.35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</row>
    <row r="625" spans="1:26" ht="14.5" x14ac:dyDescent="0.35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</row>
    <row r="626" spans="1:26" ht="14.5" x14ac:dyDescent="0.35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</row>
    <row r="627" spans="1:26" ht="14.5" x14ac:dyDescent="0.35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</row>
    <row r="628" spans="1:26" ht="14.5" x14ac:dyDescent="0.35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</row>
    <row r="629" spans="1:26" ht="14.5" x14ac:dyDescent="0.35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</row>
    <row r="630" spans="1:26" ht="14.5" x14ac:dyDescent="0.35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</row>
    <row r="631" spans="1:26" ht="14.5" x14ac:dyDescent="0.35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</row>
    <row r="632" spans="1:26" ht="14.5" x14ac:dyDescent="0.35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</row>
    <row r="633" spans="1:26" ht="14.5" x14ac:dyDescent="0.35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</row>
    <row r="634" spans="1:26" ht="14.5" x14ac:dyDescent="0.35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</row>
    <row r="635" spans="1:26" ht="14.5" x14ac:dyDescent="0.35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</row>
    <row r="636" spans="1:26" ht="14.5" x14ac:dyDescent="0.35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</row>
    <row r="637" spans="1:26" ht="14.5" x14ac:dyDescent="0.35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</row>
    <row r="638" spans="1:26" ht="14.5" x14ac:dyDescent="0.35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</row>
    <row r="639" spans="1:26" ht="14.5" x14ac:dyDescent="0.35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</row>
    <row r="640" spans="1:26" ht="14.5" x14ac:dyDescent="0.35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</row>
    <row r="641" spans="1:26" ht="14.5" x14ac:dyDescent="0.35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</row>
    <row r="642" spans="1:26" ht="14.5" x14ac:dyDescent="0.35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</row>
    <row r="643" spans="1:26" ht="14.5" x14ac:dyDescent="0.35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</row>
    <row r="644" spans="1:26" ht="14.5" x14ac:dyDescent="0.35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</row>
    <row r="645" spans="1:26" ht="14.5" x14ac:dyDescent="0.35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</row>
    <row r="646" spans="1:26" ht="14.5" x14ac:dyDescent="0.35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</row>
    <row r="647" spans="1:26" ht="14.5" x14ac:dyDescent="0.35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</row>
    <row r="648" spans="1:26" ht="14.5" x14ac:dyDescent="0.35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</row>
    <row r="649" spans="1:26" ht="14.5" x14ac:dyDescent="0.35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</row>
    <row r="650" spans="1:26" ht="14.5" x14ac:dyDescent="0.35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</row>
    <row r="651" spans="1:26" ht="14.5" x14ac:dyDescent="0.35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</row>
    <row r="652" spans="1:26" ht="14.5" x14ac:dyDescent="0.35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</row>
    <row r="653" spans="1:26" ht="14.5" x14ac:dyDescent="0.35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</row>
    <row r="654" spans="1:26" ht="14.5" x14ac:dyDescent="0.35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</row>
    <row r="655" spans="1:26" ht="14.5" x14ac:dyDescent="0.35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</row>
    <row r="656" spans="1:26" ht="14.5" x14ac:dyDescent="0.35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</row>
    <row r="657" spans="1:26" ht="14.5" x14ac:dyDescent="0.35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</row>
    <row r="658" spans="1:26" ht="14.5" x14ac:dyDescent="0.35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</row>
    <row r="659" spans="1:26" ht="14.5" x14ac:dyDescent="0.35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</row>
    <row r="660" spans="1:26" ht="14.5" x14ac:dyDescent="0.35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</row>
    <row r="661" spans="1:26" ht="14.5" x14ac:dyDescent="0.35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</row>
    <row r="662" spans="1:26" ht="14.5" x14ac:dyDescent="0.35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</row>
    <row r="663" spans="1:26" ht="14.5" x14ac:dyDescent="0.35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</row>
    <row r="664" spans="1:26" ht="14.5" x14ac:dyDescent="0.35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</row>
    <row r="665" spans="1:26" ht="14.5" x14ac:dyDescent="0.35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</row>
    <row r="666" spans="1:26" ht="14.5" x14ac:dyDescent="0.35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</row>
    <row r="667" spans="1:26" ht="14.5" x14ac:dyDescent="0.35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</row>
    <row r="668" spans="1:26" ht="14.5" x14ac:dyDescent="0.35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</row>
    <row r="669" spans="1:26" ht="14.5" x14ac:dyDescent="0.35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</row>
    <row r="670" spans="1:26" ht="14.5" x14ac:dyDescent="0.35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</row>
    <row r="671" spans="1:26" ht="14.5" x14ac:dyDescent="0.35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</row>
    <row r="672" spans="1:26" ht="14.5" x14ac:dyDescent="0.3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</row>
    <row r="673" spans="1:26" ht="14.5" x14ac:dyDescent="0.35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</row>
    <row r="674" spans="1:26" ht="14.5" x14ac:dyDescent="0.35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</row>
    <row r="675" spans="1:26" ht="14.5" x14ac:dyDescent="0.3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</row>
    <row r="676" spans="1:26" ht="14.5" x14ac:dyDescent="0.35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</row>
    <row r="677" spans="1:26" ht="14.5" x14ac:dyDescent="0.35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</row>
    <row r="678" spans="1:26" ht="14.5" x14ac:dyDescent="0.35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</row>
    <row r="679" spans="1:26" ht="14.5" x14ac:dyDescent="0.35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</row>
    <row r="680" spans="1:26" ht="14.5" x14ac:dyDescent="0.35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</row>
    <row r="681" spans="1:26" ht="14.5" x14ac:dyDescent="0.35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</row>
    <row r="682" spans="1:26" ht="14.5" x14ac:dyDescent="0.35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</row>
    <row r="683" spans="1:26" ht="14.5" x14ac:dyDescent="0.35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</row>
    <row r="684" spans="1:26" ht="14.5" x14ac:dyDescent="0.3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</row>
    <row r="685" spans="1:26" ht="14.5" x14ac:dyDescent="0.35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</row>
    <row r="686" spans="1:26" ht="14.5" x14ac:dyDescent="0.35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</row>
    <row r="687" spans="1:26" ht="14.5" x14ac:dyDescent="0.35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</row>
    <row r="688" spans="1:26" ht="14.5" x14ac:dyDescent="0.35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</row>
    <row r="689" spans="1:26" ht="14.5" x14ac:dyDescent="0.35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</row>
    <row r="690" spans="1:26" ht="14.5" x14ac:dyDescent="0.35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</row>
    <row r="691" spans="1:26" ht="14.5" x14ac:dyDescent="0.3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</row>
    <row r="692" spans="1:26" ht="14.5" x14ac:dyDescent="0.35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</row>
    <row r="693" spans="1:26" ht="14.5" x14ac:dyDescent="0.35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</row>
    <row r="694" spans="1:26" ht="14.5" x14ac:dyDescent="0.35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</row>
    <row r="695" spans="1:26" ht="14.5" x14ac:dyDescent="0.3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</row>
    <row r="696" spans="1:26" ht="14.5" x14ac:dyDescent="0.35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</row>
    <row r="697" spans="1:26" ht="14.5" x14ac:dyDescent="0.35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</row>
    <row r="698" spans="1:26" ht="14.5" x14ac:dyDescent="0.3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</row>
    <row r="699" spans="1:26" ht="14.5" x14ac:dyDescent="0.35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</row>
    <row r="700" spans="1:26" ht="14.5" x14ac:dyDescent="0.35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</row>
    <row r="701" spans="1:26" ht="14.5" x14ac:dyDescent="0.35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</row>
    <row r="702" spans="1:26" ht="14.5" x14ac:dyDescent="0.35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</row>
    <row r="703" spans="1:26" ht="14.5" x14ac:dyDescent="0.35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</row>
    <row r="704" spans="1:26" ht="14.5" x14ac:dyDescent="0.35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</row>
    <row r="705" spans="1:26" ht="14.5" x14ac:dyDescent="0.35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</row>
    <row r="706" spans="1:26" ht="14.5" x14ac:dyDescent="0.3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</row>
    <row r="707" spans="1:26" ht="14.5" x14ac:dyDescent="0.35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</row>
    <row r="708" spans="1:26" ht="14.5" x14ac:dyDescent="0.35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</row>
    <row r="709" spans="1:26" ht="14.5" x14ac:dyDescent="0.35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</row>
    <row r="710" spans="1:26" ht="14.5" x14ac:dyDescent="0.35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</row>
    <row r="711" spans="1:26" ht="14.5" x14ac:dyDescent="0.35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</row>
    <row r="712" spans="1:26" ht="14.5" x14ac:dyDescent="0.35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</row>
    <row r="713" spans="1:26" ht="14.5" x14ac:dyDescent="0.35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</row>
    <row r="714" spans="1:26" ht="14.5" x14ac:dyDescent="0.35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</row>
    <row r="715" spans="1:26" ht="14.5" x14ac:dyDescent="0.35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</row>
    <row r="716" spans="1:26" ht="14.5" x14ac:dyDescent="0.3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</row>
    <row r="717" spans="1:26" ht="14.5" x14ac:dyDescent="0.35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</row>
    <row r="718" spans="1:26" ht="14.5" x14ac:dyDescent="0.35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</row>
    <row r="719" spans="1:26" ht="14.5" x14ac:dyDescent="0.35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</row>
    <row r="720" spans="1:26" ht="14.5" x14ac:dyDescent="0.35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</row>
    <row r="721" spans="1:26" ht="14.5" x14ac:dyDescent="0.35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</row>
    <row r="722" spans="1:26" ht="14.5" x14ac:dyDescent="0.35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</row>
    <row r="723" spans="1:26" ht="14.5" x14ac:dyDescent="0.35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</row>
    <row r="724" spans="1:26" ht="14.5" x14ac:dyDescent="0.35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</row>
    <row r="725" spans="1:26" ht="14.5" x14ac:dyDescent="0.35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</row>
    <row r="726" spans="1:26" ht="14.5" x14ac:dyDescent="0.35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</row>
    <row r="727" spans="1:26" ht="14.5" x14ac:dyDescent="0.35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</row>
    <row r="728" spans="1:26" ht="14.5" x14ac:dyDescent="0.35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</row>
    <row r="729" spans="1:26" ht="14.5" x14ac:dyDescent="0.35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</row>
    <row r="730" spans="1:26" ht="14.5" x14ac:dyDescent="0.35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</row>
    <row r="731" spans="1:26" ht="14.5" x14ac:dyDescent="0.35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</row>
    <row r="732" spans="1:26" ht="14.5" x14ac:dyDescent="0.35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</row>
    <row r="733" spans="1:26" ht="14.5" x14ac:dyDescent="0.35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</row>
    <row r="734" spans="1:26" ht="14.5" x14ac:dyDescent="0.35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</row>
    <row r="735" spans="1:26" ht="14.5" x14ac:dyDescent="0.35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</row>
    <row r="736" spans="1:26" ht="14.5" x14ac:dyDescent="0.35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</row>
    <row r="737" spans="1:26" ht="14.5" x14ac:dyDescent="0.35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</row>
    <row r="738" spans="1:26" ht="14.5" x14ac:dyDescent="0.35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</row>
    <row r="739" spans="1:26" ht="14.5" x14ac:dyDescent="0.35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</row>
    <row r="740" spans="1:26" ht="14.5" x14ac:dyDescent="0.35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</row>
    <row r="741" spans="1:26" ht="14.5" x14ac:dyDescent="0.35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</row>
    <row r="742" spans="1:26" ht="14.5" x14ac:dyDescent="0.35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</row>
    <row r="743" spans="1:26" ht="14.5" x14ac:dyDescent="0.35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</row>
    <row r="744" spans="1:26" ht="14.5" x14ac:dyDescent="0.35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</row>
    <row r="745" spans="1:26" ht="14.5" x14ac:dyDescent="0.35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</row>
    <row r="746" spans="1:26" ht="14.5" x14ac:dyDescent="0.35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</row>
    <row r="747" spans="1:26" ht="14.5" x14ac:dyDescent="0.35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</row>
    <row r="748" spans="1:26" ht="14.5" x14ac:dyDescent="0.35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</row>
    <row r="749" spans="1:26" ht="14.5" x14ac:dyDescent="0.35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</row>
    <row r="750" spans="1:26" ht="14.5" x14ac:dyDescent="0.35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</row>
    <row r="751" spans="1:26" ht="14.5" x14ac:dyDescent="0.35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</row>
    <row r="752" spans="1:26" ht="14.5" x14ac:dyDescent="0.35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</row>
    <row r="753" spans="1:26" ht="14.5" x14ac:dyDescent="0.35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</row>
    <row r="754" spans="1:26" ht="14.5" x14ac:dyDescent="0.35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</row>
    <row r="755" spans="1:26" ht="14.5" x14ac:dyDescent="0.35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</row>
    <row r="756" spans="1:26" ht="14.5" x14ac:dyDescent="0.35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</row>
    <row r="757" spans="1:26" ht="14.5" x14ac:dyDescent="0.35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</row>
    <row r="758" spans="1:26" ht="14.5" x14ac:dyDescent="0.35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</row>
    <row r="759" spans="1:26" ht="14.5" x14ac:dyDescent="0.35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</row>
    <row r="760" spans="1:26" ht="14.5" x14ac:dyDescent="0.35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</row>
    <row r="761" spans="1:26" ht="14.5" x14ac:dyDescent="0.35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</row>
    <row r="762" spans="1:26" ht="14.5" x14ac:dyDescent="0.35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</row>
    <row r="763" spans="1:26" ht="14.5" x14ac:dyDescent="0.35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</row>
    <row r="764" spans="1:26" ht="14.5" x14ac:dyDescent="0.35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</row>
    <row r="765" spans="1:26" ht="14.5" x14ac:dyDescent="0.35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</row>
    <row r="766" spans="1:26" ht="14.5" x14ac:dyDescent="0.35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</row>
    <row r="767" spans="1:26" ht="14.5" x14ac:dyDescent="0.35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</row>
    <row r="768" spans="1:26" ht="14.5" x14ac:dyDescent="0.35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</row>
    <row r="769" spans="1:26" ht="14.5" x14ac:dyDescent="0.35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</row>
    <row r="770" spans="1:26" ht="14.5" x14ac:dyDescent="0.35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</row>
    <row r="771" spans="1:26" ht="14.5" x14ac:dyDescent="0.35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</row>
    <row r="772" spans="1:26" ht="14.5" x14ac:dyDescent="0.35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</row>
    <row r="773" spans="1:26" ht="14.5" x14ac:dyDescent="0.35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</row>
    <row r="774" spans="1:26" ht="14.5" x14ac:dyDescent="0.35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</row>
    <row r="775" spans="1:26" ht="14.5" x14ac:dyDescent="0.35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</row>
    <row r="776" spans="1:26" ht="14.5" x14ac:dyDescent="0.35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</row>
    <row r="777" spans="1:26" ht="14.5" x14ac:dyDescent="0.35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</row>
    <row r="778" spans="1:26" ht="14.5" x14ac:dyDescent="0.35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</row>
    <row r="779" spans="1:26" ht="14.5" x14ac:dyDescent="0.35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</row>
    <row r="780" spans="1:26" ht="14.5" x14ac:dyDescent="0.35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</row>
    <row r="781" spans="1:26" ht="14.5" x14ac:dyDescent="0.35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</row>
    <row r="782" spans="1:26" ht="14.5" x14ac:dyDescent="0.35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</row>
    <row r="783" spans="1:26" ht="14.5" x14ac:dyDescent="0.35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</row>
    <row r="784" spans="1:26" ht="14.5" x14ac:dyDescent="0.35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</row>
    <row r="785" spans="1:26" ht="14.5" x14ac:dyDescent="0.35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</row>
    <row r="786" spans="1:26" ht="14.5" x14ac:dyDescent="0.35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</row>
    <row r="787" spans="1:26" ht="14.5" x14ac:dyDescent="0.35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</row>
    <row r="788" spans="1:26" ht="14.5" x14ac:dyDescent="0.35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</row>
    <row r="789" spans="1:26" ht="14.5" x14ac:dyDescent="0.35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</row>
    <row r="790" spans="1:26" ht="14.5" x14ac:dyDescent="0.35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</row>
    <row r="791" spans="1:26" ht="14.5" x14ac:dyDescent="0.35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</row>
    <row r="792" spans="1:26" ht="14.5" x14ac:dyDescent="0.35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</row>
    <row r="793" spans="1:26" ht="14.5" x14ac:dyDescent="0.35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</row>
    <row r="794" spans="1:26" ht="14.5" x14ac:dyDescent="0.35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</row>
    <row r="795" spans="1:26" ht="14.5" x14ac:dyDescent="0.35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</row>
    <row r="796" spans="1:26" ht="14.5" x14ac:dyDescent="0.35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</row>
    <row r="797" spans="1:26" ht="14.5" x14ac:dyDescent="0.35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</row>
    <row r="798" spans="1:26" ht="14.5" x14ac:dyDescent="0.35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</row>
    <row r="799" spans="1:26" ht="14.5" x14ac:dyDescent="0.35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</row>
    <row r="800" spans="1:26" ht="14.5" x14ac:dyDescent="0.35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</row>
    <row r="801" spans="1:26" ht="14.5" x14ac:dyDescent="0.35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</row>
    <row r="802" spans="1:26" ht="14.5" x14ac:dyDescent="0.35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</row>
    <row r="803" spans="1:26" ht="14.5" x14ac:dyDescent="0.35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</row>
    <row r="804" spans="1:26" ht="14.5" x14ac:dyDescent="0.35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</row>
    <row r="805" spans="1:26" ht="14.5" x14ac:dyDescent="0.35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</row>
    <row r="806" spans="1:26" ht="14.5" x14ac:dyDescent="0.35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</row>
    <row r="807" spans="1:26" ht="14.5" x14ac:dyDescent="0.35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</row>
    <row r="808" spans="1:26" ht="14.5" x14ac:dyDescent="0.35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</row>
    <row r="809" spans="1:26" ht="14.5" x14ac:dyDescent="0.35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</row>
    <row r="810" spans="1:26" ht="14.5" x14ac:dyDescent="0.35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</row>
    <row r="811" spans="1:26" ht="14.5" x14ac:dyDescent="0.35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</row>
    <row r="812" spans="1:26" ht="14.5" x14ac:dyDescent="0.35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</row>
    <row r="813" spans="1:26" ht="14.5" x14ac:dyDescent="0.35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</row>
    <row r="814" spans="1:26" ht="14.5" x14ac:dyDescent="0.35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</row>
    <row r="815" spans="1:26" ht="14.5" x14ac:dyDescent="0.35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</row>
    <row r="816" spans="1:26" ht="14.5" x14ac:dyDescent="0.35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</row>
    <row r="817" spans="1:26" ht="14.5" x14ac:dyDescent="0.35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</row>
    <row r="818" spans="1:26" ht="14.5" x14ac:dyDescent="0.35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</row>
    <row r="819" spans="1:26" ht="14.5" x14ac:dyDescent="0.35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</row>
    <row r="820" spans="1:26" ht="14.5" x14ac:dyDescent="0.35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</row>
    <row r="821" spans="1:26" ht="14.5" x14ac:dyDescent="0.35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</row>
    <row r="822" spans="1:26" ht="14.5" x14ac:dyDescent="0.35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</row>
    <row r="823" spans="1:26" ht="14.5" x14ac:dyDescent="0.35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</row>
    <row r="824" spans="1:26" ht="14.5" x14ac:dyDescent="0.35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</row>
    <row r="825" spans="1:26" ht="14.5" x14ac:dyDescent="0.35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</row>
    <row r="826" spans="1:26" ht="14.5" x14ac:dyDescent="0.35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</row>
    <row r="827" spans="1:26" ht="14.5" x14ac:dyDescent="0.35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</row>
    <row r="828" spans="1:26" ht="14.5" x14ac:dyDescent="0.35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</row>
    <row r="829" spans="1:26" ht="14.5" x14ac:dyDescent="0.35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</row>
    <row r="830" spans="1:26" ht="14.5" x14ac:dyDescent="0.35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</row>
    <row r="831" spans="1:26" ht="14.5" x14ac:dyDescent="0.35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</row>
    <row r="832" spans="1:26" ht="14.5" x14ac:dyDescent="0.35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</row>
    <row r="833" spans="1:26" ht="14.5" x14ac:dyDescent="0.35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</row>
    <row r="834" spans="1:26" ht="14.5" x14ac:dyDescent="0.35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</row>
    <row r="835" spans="1:26" ht="14.5" x14ac:dyDescent="0.35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</row>
    <row r="836" spans="1:26" ht="14.5" x14ac:dyDescent="0.35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</row>
    <row r="837" spans="1:26" ht="14.5" x14ac:dyDescent="0.35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</row>
    <row r="838" spans="1:26" ht="14.5" x14ac:dyDescent="0.35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</row>
    <row r="839" spans="1:26" ht="14.5" x14ac:dyDescent="0.35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</row>
    <row r="840" spans="1:26" ht="14.5" x14ac:dyDescent="0.35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</row>
    <row r="841" spans="1:26" ht="14.5" x14ac:dyDescent="0.35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</row>
    <row r="842" spans="1:26" ht="14.5" x14ac:dyDescent="0.35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</row>
    <row r="843" spans="1:26" ht="14.5" x14ac:dyDescent="0.35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</row>
    <row r="844" spans="1:26" ht="14.5" x14ac:dyDescent="0.35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</row>
    <row r="845" spans="1:26" ht="14.5" x14ac:dyDescent="0.35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</row>
    <row r="846" spans="1:26" ht="14.5" x14ac:dyDescent="0.35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</row>
    <row r="847" spans="1:26" ht="14.5" x14ac:dyDescent="0.35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</row>
    <row r="848" spans="1:26" ht="14.5" x14ac:dyDescent="0.35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</row>
    <row r="849" spans="1:26" ht="14.5" x14ac:dyDescent="0.35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</row>
    <row r="850" spans="1:26" ht="14.5" x14ac:dyDescent="0.35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</row>
    <row r="851" spans="1:26" ht="14.5" x14ac:dyDescent="0.35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</row>
    <row r="852" spans="1:26" ht="14.5" x14ac:dyDescent="0.35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</row>
    <row r="853" spans="1:26" ht="14.5" x14ac:dyDescent="0.35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</row>
    <row r="854" spans="1:26" ht="14.5" x14ac:dyDescent="0.35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</row>
    <row r="855" spans="1:26" ht="14.5" x14ac:dyDescent="0.35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</row>
    <row r="856" spans="1:26" ht="14.5" x14ac:dyDescent="0.35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</row>
    <row r="857" spans="1:26" ht="14.5" x14ac:dyDescent="0.35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</row>
    <row r="858" spans="1:26" ht="14.5" x14ac:dyDescent="0.35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</row>
    <row r="859" spans="1:26" ht="14.5" x14ac:dyDescent="0.35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</row>
    <row r="860" spans="1:26" ht="14.5" x14ac:dyDescent="0.35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</row>
    <row r="861" spans="1:26" ht="14.5" x14ac:dyDescent="0.35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</row>
    <row r="862" spans="1:26" ht="14.5" x14ac:dyDescent="0.35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</row>
    <row r="863" spans="1:26" ht="14.5" x14ac:dyDescent="0.35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</row>
    <row r="864" spans="1:26" ht="14.5" x14ac:dyDescent="0.35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</row>
    <row r="865" spans="1:26" ht="14.5" x14ac:dyDescent="0.35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</row>
    <row r="866" spans="1:26" ht="14.5" x14ac:dyDescent="0.35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</row>
    <row r="867" spans="1:26" ht="14.5" x14ac:dyDescent="0.35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</row>
    <row r="868" spans="1:26" ht="14.5" x14ac:dyDescent="0.35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</row>
    <row r="869" spans="1:26" ht="14.5" x14ac:dyDescent="0.35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</row>
    <row r="870" spans="1:26" ht="14.5" x14ac:dyDescent="0.35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</row>
    <row r="871" spans="1:26" ht="14.5" x14ac:dyDescent="0.35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</row>
    <row r="872" spans="1:26" ht="14.5" x14ac:dyDescent="0.35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</row>
    <row r="873" spans="1:26" ht="14.5" x14ac:dyDescent="0.35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</row>
    <row r="874" spans="1:26" ht="14.5" x14ac:dyDescent="0.35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</row>
    <row r="875" spans="1:26" ht="14.5" x14ac:dyDescent="0.35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</row>
    <row r="876" spans="1:26" ht="14.5" x14ac:dyDescent="0.35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</row>
    <row r="877" spans="1:26" ht="14.5" x14ac:dyDescent="0.35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</row>
    <row r="878" spans="1:26" ht="14.5" x14ac:dyDescent="0.35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</row>
    <row r="879" spans="1:26" ht="14.5" x14ac:dyDescent="0.35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</row>
    <row r="880" spans="1:26" ht="14.5" x14ac:dyDescent="0.35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</row>
    <row r="881" spans="1:26" ht="14.5" x14ac:dyDescent="0.35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</row>
    <row r="882" spans="1:26" ht="14.5" x14ac:dyDescent="0.35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</row>
    <row r="883" spans="1:26" ht="14.5" x14ac:dyDescent="0.35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</row>
    <row r="884" spans="1:26" ht="14.5" x14ac:dyDescent="0.35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</row>
    <row r="885" spans="1:26" ht="14.5" x14ac:dyDescent="0.35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</row>
    <row r="886" spans="1:26" ht="14.5" x14ac:dyDescent="0.35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</row>
    <row r="887" spans="1:26" ht="14.5" x14ac:dyDescent="0.35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</row>
    <row r="888" spans="1:26" ht="14.5" x14ac:dyDescent="0.35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</row>
    <row r="889" spans="1:26" ht="14.5" x14ac:dyDescent="0.35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</row>
    <row r="890" spans="1:26" ht="14.5" x14ac:dyDescent="0.35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</row>
    <row r="891" spans="1:26" ht="14.5" x14ac:dyDescent="0.35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</row>
    <row r="892" spans="1:26" ht="14.5" x14ac:dyDescent="0.35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</row>
    <row r="893" spans="1:26" ht="14.5" x14ac:dyDescent="0.35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</row>
    <row r="894" spans="1:26" ht="14.5" x14ac:dyDescent="0.35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</row>
    <row r="895" spans="1:26" ht="14.5" x14ac:dyDescent="0.35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</row>
    <row r="896" spans="1:26" ht="14.5" x14ac:dyDescent="0.35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</row>
    <row r="897" spans="1:26" ht="14.5" x14ac:dyDescent="0.35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</row>
    <row r="898" spans="1:26" ht="14.5" x14ac:dyDescent="0.35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</row>
    <row r="899" spans="1:26" ht="14.5" x14ac:dyDescent="0.35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</row>
    <row r="900" spans="1:26" ht="14.5" x14ac:dyDescent="0.35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</row>
    <row r="901" spans="1:26" ht="14.5" x14ac:dyDescent="0.35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</row>
    <row r="902" spans="1:26" ht="14.5" x14ac:dyDescent="0.35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</row>
    <row r="903" spans="1:26" ht="14.5" x14ac:dyDescent="0.35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</row>
    <row r="904" spans="1:26" ht="14.5" x14ac:dyDescent="0.35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</row>
    <row r="905" spans="1:26" ht="14.5" x14ac:dyDescent="0.35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</row>
    <row r="906" spans="1:26" ht="14.5" x14ac:dyDescent="0.35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</row>
    <row r="907" spans="1:26" ht="14.5" x14ac:dyDescent="0.35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</row>
    <row r="908" spans="1:26" ht="14.5" x14ac:dyDescent="0.35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</row>
    <row r="909" spans="1:26" ht="14.5" x14ac:dyDescent="0.35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</row>
    <row r="910" spans="1:26" ht="14.5" x14ac:dyDescent="0.35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</row>
    <row r="911" spans="1:26" ht="14.5" x14ac:dyDescent="0.35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</row>
    <row r="912" spans="1:26" ht="14.5" x14ac:dyDescent="0.35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</row>
    <row r="913" spans="1:26" ht="14.5" x14ac:dyDescent="0.35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</row>
    <row r="914" spans="1:26" ht="14.5" x14ac:dyDescent="0.35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</row>
    <row r="915" spans="1:26" ht="14.5" x14ac:dyDescent="0.35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</row>
    <row r="916" spans="1:26" ht="14.5" x14ac:dyDescent="0.35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</row>
    <row r="917" spans="1:26" ht="14.5" x14ac:dyDescent="0.35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</row>
    <row r="918" spans="1:26" ht="14.5" x14ac:dyDescent="0.35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</row>
    <row r="919" spans="1:26" ht="14.5" x14ac:dyDescent="0.35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</row>
    <row r="920" spans="1:26" ht="14.5" x14ac:dyDescent="0.35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</row>
    <row r="921" spans="1:26" ht="14.5" x14ac:dyDescent="0.3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</row>
    <row r="922" spans="1:26" ht="14.5" x14ac:dyDescent="0.3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</row>
    <row r="923" spans="1:26" ht="14.5" x14ac:dyDescent="0.3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</row>
    <row r="924" spans="1:26" ht="14.5" x14ac:dyDescent="0.3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</row>
    <row r="925" spans="1:26" ht="14.5" x14ac:dyDescent="0.3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</row>
    <row r="926" spans="1:26" ht="14.5" x14ac:dyDescent="0.3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</row>
    <row r="927" spans="1:26" ht="14.5" x14ac:dyDescent="0.3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</row>
    <row r="928" spans="1:26" ht="14.5" x14ac:dyDescent="0.3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</row>
    <row r="929" spans="1:26" ht="14.5" x14ac:dyDescent="0.3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</row>
    <row r="930" spans="1:26" ht="14.5" x14ac:dyDescent="0.3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</row>
    <row r="931" spans="1:26" ht="14.5" x14ac:dyDescent="0.3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</row>
    <row r="932" spans="1:26" ht="14.5" x14ac:dyDescent="0.3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</row>
    <row r="933" spans="1:26" ht="14.5" x14ac:dyDescent="0.35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</row>
    <row r="934" spans="1:26" ht="14.5" x14ac:dyDescent="0.35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</row>
    <row r="935" spans="1:26" ht="14.5" x14ac:dyDescent="0.35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</row>
    <row r="936" spans="1:26" ht="14.5" x14ac:dyDescent="0.35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</row>
    <row r="937" spans="1:26" ht="14.5" x14ac:dyDescent="0.35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</row>
    <row r="938" spans="1:26" ht="14.5" x14ac:dyDescent="0.35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</row>
    <row r="939" spans="1:26" ht="14.5" x14ac:dyDescent="0.35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</row>
    <row r="940" spans="1:26" ht="14.5" x14ac:dyDescent="0.35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</row>
    <row r="941" spans="1:26" ht="14.5" x14ac:dyDescent="0.35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</row>
    <row r="942" spans="1:26" ht="14.5" x14ac:dyDescent="0.35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</row>
    <row r="943" spans="1:26" ht="14.5" x14ac:dyDescent="0.35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</row>
    <row r="944" spans="1:26" ht="14.5" x14ac:dyDescent="0.35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</row>
    <row r="945" spans="1:26" ht="14.5" x14ac:dyDescent="0.35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</row>
    <row r="946" spans="1:26" ht="14.5" x14ac:dyDescent="0.35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</row>
    <row r="947" spans="1:26" ht="14.5" x14ac:dyDescent="0.35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</row>
    <row r="948" spans="1:26" ht="14.5" x14ac:dyDescent="0.35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</row>
    <row r="949" spans="1:26" ht="14.5" x14ac:dyDescent="0.35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</row>
    <row r="950" spans="1:26" ht="14.5" x14ac:dyDescent="0.35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</row>
    <row r="951" spans="1:26" ht="14.5" x14ac:dyDescent="0.35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</row>
    <row r="952" spans="1:26" ht="14.5" x14ac:dyDescent="0.35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</row>
    <row r="953" spans="1:26" ht="14.5" x14ac:dyDescent="0.35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</row>
    <row r="954" spans="1:26" ht="14.5" x14ac:dyDescent="0.35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</row>
    <row r="955" spans="1:26" ht="14.5" x14ac:dyDescent="0.35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</row>
    <row r="956" spans="1:26" ht="14.5" x14ac:dyDescent="0.35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</row>
    <row r="957" spans="1:26" ht="14.5" x14ac:dyDescent="0.35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</row>
    <row r="958" spans="1:26" ht="14.5" x14ac:dyDescent="0.35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</row>
    <row r="959" spans="1:26" ht="14.5" x14ac:dyDescent="0.35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</row>
    <row r="960" spans="1:26" ht="14.5" x14ac:dyDescent="0.35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</row>
    <row r="961" spans="1:26" ht="14.5" x14ac:dyDescent="0.35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</row>
    <row r="962" spans="1:26" ht="14.5" x14ac:dyDescent="0.35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</row>
    <row r="963" spans="1:26" ht="14.5" x14ac:dyDescent="0.35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</row>
    <row r="964" spans="1:26" ht="14.5" x14ac:dyDescent="0.35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</row>
    <row r="965" spans="1:26" ht="14.5" x14ac:dyDescent="0.35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</row>
    <row r="966" spans="1:26" ht="14.5" x14ac:dyDescent="0.35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</row>
    <row r="967" spans="1:26" ht="14.5" x14ac:dyDescent="0.35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</row>
    <row r="968" spans="1:26" ht="14.5" x14ac:dyDescent="0.35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</row>
    <row r="969" spans="1:26" ht="14.5" x14ac:dyDescent="0.35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</row>
    <row r="970" spans="1:26" ht="14.5" x14ac:dyDescent="0.35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</row>
    <row r="971" spans="1:26" ht="14.5" x14ac:dyDescent="0.35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</row>
    <row r="972" spans="1:26" ht="14.5" x14ac:dyDescent="0.35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</row>
    <row r="973" spans="1:26" ht="14.5" x14ac:dyDescent="0.35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</row>
    <row r="974" spans="1:26" ht="14.5" x14ac:dyDescent="0.35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</row>
    <row r="975" spans="1:26" ht="14.5" x14ac:dyDescent="0.35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</row>
    <row r="976" spans="1:26" ht="14.5" x14ac:dyDescent="0.35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</row>
    <row r="977" spans="1:26" ht="14.5" x14ac:dyDescent="0.35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</row>
    <row r="978" spans="1:26" ht="14.5" x14ac:dyDescent="0.35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</row>
    <row r="979" spans="1:26" ht="14.5" x14ac:dyDescent="0.35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</row>
    <row r="980" spans="1:26" ht="14.5" x14ac:dyDescent="0.35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</row>
    <row r="981" spans="1:26" ht="14.5" x14ac:dyDescent="0.35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</row>
    <row r="982" spans="1:26" ht="14.5" x14ac:dyDescent="0.35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</row>
    <row r="983" spans="1:26" ht="14.5" x14ac:dyDescent="0.35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</row>
    <row r="984" spans="1:26" ht="14.5" x14ac:dyDescent="0.35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</row>
    <row r="985" spans="1:26" ht="14.5" x14ac:dyDescent="0.35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</row>
    <row r="986" spans="1:26" ht="14.5" x14ac:dyDescent="0.35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</row>
    <row r="987" spans="1:26" ht="14.5" x14ac:dyDescent="0.35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</row>
    <row r="988" spans="1:26" ht="14.5" x14ac:dyDescent="0.35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</row>
    <row r="989" spans="1:26" ht="14.5" x14ac:dyDescent="0.35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</row>
    <row r="990" spans="1:26" ht="14.5" x14ac:dyDescent="0.35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</row>
    <row r="991" spans="1:26" ht="14.5" x14ac:dyDescent="0.35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</row>
    <row r="992" spans="1:26" ht="14.5" x14ac:dyDescent="0.35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</row>
    <row r="993" spans="1:26" ht="14.5" x14ac:dyDescent="0.35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</row>
    <row r="994" spans="1:26" ht="14.5" x14ac:dyDescent="0.35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</row>
    <row r="995" spans="1:26" ht="14.5" x14ac:dyDescent="0.35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</row>
    <row r="996" spans="1:26" ht="14.5" x14ac:dyDescent="0.35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</row>
    <row r="997" spans="1:26" ht="14.5" x14ac:dyDescent="0.35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</row>
    <row r="998" spans="1:26" ht="14.5" x14ac:dyDescent="0.35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</row>
    <row r="999" spans="1:26" ht="14.5" x14ac:dyDescent="0.35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</row>
    <row r="1000" spans="1:26" ht="14.5" x14ac:dyDescent="0.35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</row>
    <row r="1001" spans="1:26" ht="14.5" x14ac:dyDescent="0.35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</row>
    <row r="1002" spans="1:26" ht="14.5" x14ac:dyDescent="0.35">
      <c r="A1002" s="217"/>
      <c r="B1002" s="217"/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</row>
    <row r="1003" spans="1:26" ht="14.5" x14ac:dyDescent="0.35">
      <c r="A1003" s="217"/>
      <c r="B1003" s="217"/>
      <c r="C1003" s="217"/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</row>
    <row r="1004" spans="1:26" ht="14.5" x14ac:dyDescent="0.35">
      <c r="A1004" s="217"/>
      <c r="B1004" s="217"/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</row>
    <row r="1005" spans="1:26" ht="14.5" x14ac:dyDescent="0.35">
      <c r="A1005" s="217"/>
      <c r="B1005" s="217"/>
      <c r="C1005" s="217"/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</row>
    <row r="1006" spans="1:26" ht="14.5" x14ac:dyDescent="0.35">
      <c r="A1006" s="217"/>
      <c r="B1006" s="217"/>
      <c r="C1006" s="217"/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</row>
    <row r="1007" spans="1:26" ht="14.5" x14ac:dyDescent="0.35">
      <c r="A1007" s="217"/>
      <c r="B1007" s="217"/>
      <c r="C1007" s="217"/>
      <c r="D1007" s="217"/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</row>
    <row r="1008" spans="1:26" ht="14.5" x14ac:dyDescent="0.35">
      <c r="A1008" s="217"/>
      <c r="B1008" s="217"/>
      <c r="C1008" s="217"/>
      <c r="D1008" s="217"/>
      <c r="E1008" s="217"/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</row>
    <row r="1009" spans="1:26" ht="14.5" x14ac:dyDescent="0.35">
      <c r="A1009" s="217"/>
      <c r="B1009" s="217"/>
      <c r="C1009" s="217"/>
      <c r="D1009" s="217"/>
      <c r="E1009" s="217"/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</row>
    <row r="1010" spans="1:26" ht="14.5" x14ac:dyDescent="0.35">
      <c r="A1010" s="217"/>
      <c r="B1010" s="217"/>
      <c r="C1010" s="217"/>
      <c r="D1010" s="217"/>
      <c r="E1010" s="217"/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</row>
    <row r="1011" spans="1:26" ht="14.5" x14ac:dyDescent="0.35">
      <c r="A1011" s="217"/>
      <c r="B1011" s="217"/>
      <c r="C1011" s="217"/>
      <c r="D1011" s="217"/>
      <c r="E1011" s="217"/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</row>
    <row r="1012" spans="1:26" ht="14.5" x14ac:dyDescent="0.35">
      <c r="A1012" s="217"/>
      <c r="B1012" s="217"/>
      <c r="C1012" s="217"/>
      <c r="D1012" s="217"/>
      <c r="E1012" s="217"/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</row>
    <row r="1013" spans="1:26" ht="14.5" x14ac:dyDescent="0.35">
      <c r="A1013" s="217"/>
      <c r="B1013" s="217"/>
      <c r="C1013" s="217"/>
      <c r="D1013" s="217"/>
      <c r="E1013" s="217"/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</row>
    <row r="1014" spans="1:26" ht="14.5" x14ac:dyDescent="0.35">
      <c r="A1014" s="217"/>
      <c r="B1014" s="217"/>
      <c r="C1014" s="217"/>
      <c r="D1014" s="217"/>
      <c r="E1014" s="217"/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</row>
    <row r="1015" spans="1:26" ht="14.5" x14ac:dyDescent="0.35">
      <c r="A1015" s="217"/>
      <c r="B1015" s="217"/>
      <c r="C1015" s="217"/>
      <c r="D1015" s="217"/>
      <c r="E1015" s="217"/>
      <c r="F1015" s="21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</row>
    <row r="1016" spans="1:26" ht="14.5" x14ac:dyDescent="0.35">
      <c r="A1016" s="217"/>
      <c r="B1016" s="217"/>
      <c r="C1016" s="217"/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</row>
    <row r="1017" spans="1:26" ht="14.5" x14ac:dyDescent="0.35">
      <c r="A1017" s="217"/>
      <c r="B1017" s="217"/>
      <c r="C1017" s="217"/>
      <c r="D1017" s="217"/>
      <c r="E1017" s="217"/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</row>
    <row r="1018" spans="1:26" ht="14.5" x14ac:dyDescent="0.35">
      <c r="A1018" s="217"/>
      <c r="B1018" s="217"/>
      <c r="C1018" s="217"/>
      <c r="D1018" s="217"/>
      <c r="E1018" s="217"/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</row>
    <row r="1019" spans="1:26" ht="14.5" x14ac:dyDescent="0.35">
      <c r="A1019" s="217"/>
      <c r="B1019" s="217"/>
      <c r="C1019" s="217"/>
      <c r="D1019" s="217"/>
      <c r="E1019" s="217"/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</row>
    <row r="1020" spans="1:26" ht="14.5" x14ac:dyDescent="0.35">
      <c r="A1020" s="217"/>
      <c r="B1020" s="217"/>
      <c r="C1020" s="217"/>
      <c r="D1020" s="217"/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</row>
  </sheetData>
  <customSheetViews>
    <customSheetView guid="{106B7A88-9D1E-4D22-9DE1-7E44A908E830}" showGridLines="0" fitToPage="1" hiddenColumns="1">
      <selection activeCell="E1" sqref="E1"/>
      <pageMargins left="0.7" right="0.7" top="0.75" bottom="0.75" header="0.3" footer="0.3"/>
      <pageSetup paperSize="9" scale="36" fitToHeight="0" orientation="landscape" r:id="rId1"/>
    </customSheetView>
    <customSheetView guid="{CF50DB9B-0F8D-41A5-9576-F9345942CE97}" scale="140" showGridLines="0" topLeftCell="A68">
      <selection activeCell="B78" sqref="B78"/>
      <pageMargins left="0.7" right="0.7" top="0.75" bottom="0.75" header="0.3" footer="0.3"/>
      <pageSetup paperSize="9" orientation="portrait" r:id="rId2"/>
    </customSheetView>
    <customSheetView guid="{B8CD8764-8103-4BA7-A294-F5FED5EA74ED}" showGridLines="0" topLeftCell="A98">
      <selection activeCell="B108" sqref="B108"/>
      <pageMargins left="0.7" right="0.7" top="0.75" bottom="0.75" header="0.3" footer="0.3"/>
      <pageSetup paperSize="9" orientation="portrait" r:id="rId3"/>
    </customSheetView>
    <customSheetView guid="{845F3A43-EF96-4057-9777-D2F2301CC149}" showPageBreaks="1" showGridLines="0" fitToPage="1" hiddenColumns="1">
      <selection activeCell="E1" sqref="E1"/>
      <pageMargins left="0.7" right="0.7" top="0.75" bottom="0.75" header="0.3" footer="0.3"/>
      <pageSetup paperSize="9" scale="36" fitToHeight="0" orientation="landscape" r:id="rId4"/>
    </customSheetView>
  </customSheetViews>
  <mergeCells count="2">
    <mergeCell ref="E7:G20"/>
    <mergeCell ref="E81:G85"/>
  </mergeCells>
  <pageMargins left="0.7" right="0.7" top="0.75" bottom="0.75" header="0.3" footer="0.3"/>
  <pageSetup paperSize="9" scale="36" fitToHeight="0" orientation="landscape" r:id="rId5"/>
  <drawing r:id="rId6"/>
  <legacy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C297-2F43-40A3-80DE-32AE34D02C0F}">
  <dimension ref="A1:K27"/>
  <sheetViews>
    <sheetView workbookViewId="0">
      <pane ySplit="1" topLeftCell="A17" activePane="bottomLeft" state="frozen"/>
      <selection pane="bottomLeft" activeCell="K26" sqref="K26"/>
    </sheetView>
  </sheetViews>
  <sheetFormatPr baseColWidth="10" defaultRowHeight="12.5" x14ac:dyDescent="0.25"/>
  <cols>
    <col min="1" max="1" width="14.81640625" style="460" customWidth="1"/>
    <col min="2" max="2" width="13.1796875" bestFit="1" customWidth="1"/>
    <col min="6" max="6" width="14.81640625" bestFit="1" customWidth="1"/>
    <col min="7" max="7" width="13.1796875" bestFit="1" customWidth="1"/>
    <col min="9" max="9" width="12.453125" bestFit="1" customWidth="1"/>
  </cols>
  <sheetData>
    <row r="1" spans="1:11" ht="13" x14ac:dyDescent="0.3">
      <c r="B1" s="476" t="s">
        <v>84</v>
      </c>
      <c r="C1" s="476" t="s">
        <v>653</v>
      </c>
      <c r="D1" s="476" t="s">
        <v>654</v>
      </c>
      <c r="E1" s="476" t="s">
        <v>653</v>
      </c>
      <c r="F1" s="476" t="s">
        <v>654</v>
      </c>
      <c r="I1" s="476" t="s">
        <v>657</v>
      </c>
      <c r="J1" s="479" t="s">
        <v>667</v>
      </c>
      <c r="K1" s="479" t="s">
        <v>666</v>
      </c>
    </row>
    <row r="2" spans="1:11" x14ac:dyDescent="0.25">
      <c r="A2" s="177" t="s">
        <v>658</v>
      </c>
      <c r="B2" s="433">
        <v>1552.54</v>
      </c>
      <c r="C2" s="433">
        <v>769.35</v>
      </c>
      <c r="D2" s="433">
        <v>783.19</v>
      </c>
      <c r="E2" s="433">
        <f>C2/B2</f>
        <v>0.49554278794749251</v>
      </c>
      <c r="F2" s="433">
        <f>D2/B2</f>
        <v>0.5044572120525076</v>
      </c>
      <c r="G2" s="177" t="s">
        <v>655</v>
      </c>
      <c r="H2">
        <v>28</v>
      </c>
      <c r="I2" s="478">
        <f>(B2/H2)/H3</f>
        <v>13.861964285714285</v>
      </c>
    </row>
    <row r="3" spans="1:11" x14ac:dyDescent="0.25">
      <c r="A3" s="177" t="s">
        <v>279</v>
      </c>
      <c r="B3" s="177">
        <v>382.3</v>
      </c>
      <c r="C3" s="177">
        <v>186.5</v>
      </c>
      <c r="D3" s="177">
        <v>195.8</v>
      </c>
      <c r="E3">
        <f>C3/B3</f>
        <v>0.48783677739994769</v>
      </c>
      <c r="F3">
        <f>D3/B3</f>
        <v>0.51216322260005231</v>
      </c>
      <c r="G3" s="177" t="s">
        <v>656</v>
      </c>
      <c r="H3" s="460">
        <v>4</v>
      </c>
      <c r="I3" s="478"/>
    </row>
    <row r="4" spans="1:11" x14ac:dyDescent="0.25">
      <c r="I4" s="478"/>
    </row>
    <row r="5" spans="1:11" s="460" customFormat="1" x14ac:dyDescent="0.25">
      <c r="A5" s="177" t="s">
        <v>363</v>
      </c>
      <c r="B5" s="177">
        <v>1296.1400000000001</v>
      </c>
      <c r="C5" s="177">
        <v>652.80999999999995</v>
      </c>
      <c r="D5">
        <v>643.33000000000004</v>
      </c>
      <c r="E5">
        <f>C5/B5</f>
        <v>0.50365701235977589</v>
      </c>
      <c r="F5">
        <f>D5/B5</f>
        <v>0.49634298764022405</v>
      </c>
      <c r="G5" s="177" t="s">
        <v>655</v>
      </c>
      <c r="H5" s="460">
        <v>23</v>
      </c>
      <c r="I5" s="478">
        <f>(B5/H5)/H6</f>
        <v>14.088478260869566</v>
      </c>
    </row>
    <row r="6" spans="1:11" s="460" customFormat="1" x14ac:dyDescent="0.25">
      <c r="G6" s="177" t="s">
        <v>656</v>
      </c>
      <c r="H6" s="460">
        <v>4</v>
      </c>
      <c r="I6" s="478"/>
    </row>
    <row r="7" spans="1:11" x14ac:dyDescent="0.25">
      <c r="I7" s="478"/>
    </row>
    <row r="8" spans="1:11" x14ac:dyDescent="0.25">
      <c r="A8" s="177" t="s">
        <v>659</v>
      </c>
      <c r="B8" s="177">
        <v>292.56</v>
      </c>
      <c r="G8" s="177" t="s">
        <v>655</v>
      </c>
      <c r="H8">
        <v>21</v>
      </c>
      <c r="I8" s="478">
        <f>B8/H8</f>
        <v>13.931428571428572</v>
      </c>
    </row>
    <row r="9" spans="1:11" x14ac:dyDescent="0.25">
      <c r="I9" s="478"/>
    </row>
    <row r="10" spans="1:11" x14ac:dyDescent="0.25">
      <c r="I10" s="478"/>
    </row>
    <row r="11" spans="1:11" ht="25" x14ac:dyDescent="0.25">
      <c r="A11" s="175" t="s">
        <v>660</v>
      </c>
      <c r="B11" s="177">
        <v>749.06</v>
      </c>
      <c r="C11" s="177">
        <v>413.41</v>
      </c>
      <c r="D11" s="177">
        <v>335.65</v>
      </c>
      <c r="E11">
        <f>C11/B11</f>
        <v>0.55190505433476633</v>
      </c>
      <c r="F11">
        <f>D11/B11</f>
        <v>0.44809494566523378</v>
      </c>
      <c r="G11" s="177" t="s">
        <v>655</v>
      </c>
      <c r="H11">
        <v>8</v>
      </c>
      <c r="I11" s="478">
        <f>(B11/H11)/H12</f>
        <v>15.605416666666665</v>
      </c>
    </row>
    <row r="12" spans="1:11" x14ac:dyDescent="0.25">
      <c r="G12" s="177" t="s">
        <v>656</v>
      </c>
      <c r="H12">
        <v>6</v>
      </c>
      <c r="I12" s="478"/>
    </row>
    <row r="13" spans="1:11" x14ac:dyDescent="0.25">
      <c r="I13" s="478"/>
    </row>
    <row r="14" spans="1:11" ht="25" x14ac:dyDescent="0.25">
      <c r="A14" s="175" t="s">
        <v>661</v>
      </c>
      <c r="B14" s="177">
        <v>121.66</v>
      </c>
      <c r="C14" s="177">
        <v>65.72</v>
      </c>
      <c r="D14" s="177">
        <v>55.94</v>
      </c>
      <c r="E14">
        <f>C14/B14</f>
        <v>0.54019398323195789</v>
      </c>
      <c r="F14">
        <f>D14/B14</f>
        <v>0.45980601676804206</v>
      </c>
      <c r="G14" s="177" t="s">
        <v>655</v>
      </c>
      <c r="H14">
        <v>8</v>
      </c>
      <c r="I14" s="478">
        <f>(B14/H14)</f>
        <v>15.2075</v>
      </c>
    </row>
    <row r="15" spans="1:11" x14ac:dyDescent="0.25">
      <c r="I15" s="478"/>
    </row>
    <row r="16" spans="1:11" ht="37.5" x14ac:dyDescent="0.25">
      <c r="A16" s="175" t="s">
        <v>662</v>
      </c>
      <c r="B16" s="177">
        <v>1287.5</v>
      </c>
      <c r="C16" s="177">
        <v>658.15</v>
      </c>
      <c r="D16" s="177">
        <v>629.35</v>
      </c>
      <c r="E16" s="477">
        <f>C16/B16</f>
        <v>0.51118446601941747</v>
      </c>
      <c r="F16">
        <f>D16/B16</f>
        <v>0.48881553398058253</v>
      </c>
      <c r="G16" s="177" t="s">
        <v>655</v>
      </c>
      <c r="H16">
        <v>15</v>
      </c>
      <c r="I16" s="478">
        <f>(B16/H16)/H17</f>
        <v>14.305555555555555</v>
      </c>
    </row>
    <row r="17" spans="1:11" x14ac:dyDescent="0.25">
      <c r="G17" s="177" t="s">
        <v>656</v>
      </c>
      <c r="H17" s="177">
        <v>6</v>
      </c>
      <c r="I17" s="478"/>
    </row>
    <row r="18" spans="1:11" ht="37.5" x14ac:dyDescent="0.25">
      <c r="A18" s="175" t="s">
        <v>663</v>
      </c>
      <c r="B18" s="177">
        <v>210.5</v>
      </c>
      <c r="C18" s="177">
        <v>106.1</v>
      </c>
      <c r="D18" s="177">
        <v>104.4</v>
      </c>
      <c r="E18">
        <f>C18/B18</f>
        <v>0.50403800475059379</v>
      </c>
      <c r="F18">
        <f>D18/B18</f>
        <v>0.49596199524940621</v>
      </c>
      <c r="G18" s="177" t="s">
        <v>655</v>
      </c>
      <c r="H18" s="177">
        <v>15</v>
      </c>
      <c r="I18" s="478">
        <f>B18/H18</f>
        <v>14.033333333333333</v>
      </c>
    </row>
    <row r="19" spans="1:11" x14ac:dyDescent="0.25">
      <c r="E19" s="460"/>
      <c r="F19" s="460"/>
      <c r="I19" s="478"/>
    </row>
    <row r="20" spans="1:11" s="460" customFormat="1" x14ac:dyDescent="0.25">
      <c r="A20" s="175" t="s">
        <v>664</v>
      </c>
      <c r="B20" s="177">
        <v>131.1</v>
      </c>
      <c r="C20" s="177">
        <v>75.099999999999994</v>
      </c>
      <c r="D20" s="177">
        <v>56</v>
      </c>
      <c r="E20" s="460">
        <f t="shared" ref="E20:E23" si="0">C20/B20</f>
        <v>0.57284515636918376</v>
      </c>
      <c r="F20" s="460">
        <f t="shared" ref="F20:F23" si="1">D20/B20</f>
        <v>0.42715484363081618</v>
      </c>
      <c r="G20" s="177" t="s">
        <v>655</v>
      </c>
      <c r="H20" s="460">
        <v>16</v>
      </c>
      <c r="I20" s="478">
        <f t="shared" ref="I20:I23" si="2">B20/H20</f>
        <v>8.1937499999999996</v>
      </c>
    </row>
    <row r="21" spans="1:11" s="460" customFormat="1" x14ac:dyDescent="0.25">
      <c r="G21" s="177"/>
      <c r="I21" s="478"/>
    </row>
    <row r="22" spans="1:11" s="460" customFormat="1" x14ac:dyDescent="0.25">
      <c r="I22" s="478"/>
    </row>
    <row r="23" spans="1:11" s="460" customFormat="1" x14ac:dyDescent="0.25">
      <c r="A23" s="177" t="s">
        <v>665</v>
      </c>
      <c r="B23" s="177">
        <v>166.1</v>
      </c>
      <c r="C23" s="177">
        <v>92.6</v>
      </c>
      <c r="D23" s="177">
        <v>73.5</v>
      </c>
      <c r="E23" s="460">
        <f t="shared" si="0"/>
        <v>0.55749548464780252</v>
      </c>
      <c r="F23" s="460">
        <f t="shared" si="1"/>
        <v>0.44250451535219748</v>
      </c>
      <c r="G23" s="177" t="s">
        <v>655</v>
      </c>
      <c r="H23" s="460">
        <v>21</v>
      </c>
      <c r="I23" s="478">
        <f t="shared" si="2"/>
        <v>7.909523809523809</v>
      </c>
      <c r="J23" s="177">
        <v>6.8</v>
      </c>
      <c r="K23" s="480">
        <f t="shared" ref="K23" si="3">(I23-J23)/J23</f>
        <v>0.16316526610644252</v>
      </c>
    </row>
    <row r="24" spans="1:11" s="460" customFormat="1" x14ac:dyDescent="0.25">
      <c r="A24" s="177"/>
      <c r="G24" s="177"/>
      <c r="I24" s="478"/>
      <c r="K24" s="480"/>
    </row>
    <row r="25" spans="1:11" s="460" customFormat="1" x14ac:dyDescent="0.25">
      <c r="I25" s="478"/>
      <c r="K25" s="480"/>
    </row>
    <row r="26" spans="1:11" x14ac:dyDescent="0.25">
      <c r="A26" s="177" t="s">
        <v>296</v>
      </c>
      <c r="B26" s="177">
        <v>1288.5999999999999</v>
      </c>
      <c r="C26" s="177">
        <v>1288.5999999999999</v>
      </c>
      <c r="D26">
        <v>0</v>
      </c>
      <c r="E26" s="460">
        <f t="shared" ref="E26" si="4">C26/B26</f>
        <v>1</v>
      </c>
      <c r="F26" s="460">
        <f t="shared" ref="F26" si="5">D26/B26</f>
        <v>0</v>
      </c>
      <c r="G26" s="177" t="s">
        <v>655</v>
      </c>
      <c r="I26" s="478">
        <f>B26/H27</f>
        <v>128.85999999999999</v>
      </c>
      <c r="J26" s="177">
        <v>102.95</v>
      </c>
      <c r="K26" s="480">
        <f>(I26-SUM(J26:J27))/SUM(J26:J27)</f>
        <v>2.5873736167502475E-2</v>
      </c>
    </row>
    <row r="27" spans="1:11" x14ac:dyDescent="0.25">
      <c r="G27" s="177" t="s">
        <v>656</v>
      </c>
      <c r="H27">
        <v>10</v>
      </c>
      <c r="J27" s="177">
        <v>22.66</v>
      </c>
    </row>
  </sheetData>
  <customSheetViews>
    <customSheetView guid="{106B7A88-9D1E-4D22-9DE1-7E44A908E830}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1"/>
    </customSheetView>
    <customSheetView guid="{845F3A43-EF96-4057-9777-D2F2301CC149}" showPageBreaks="1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Budsjettanalyse</vt:lpstr>
      <vt:lpstr>Budsjett_enkel</vt:lpstr>
      <vt:lpstr>Sentralt</vt:lpstr>
      <vt:lpstr>Program</vt:lpstr>
      <vt:lpstr>Oversikt Pris</vt:lpstr>
      <vt:lpstr>Komiteer</vt:lpstr>
      <vt:lpstr>Prosjekter</vt:lpstr>
      <vt:lpstr>Oversikt Variabler</vt:lpstr>
      <vt:lpstr>C10 2019</vt:lpstr>
      <vt:lpstr>FinansFond</vt:lpstr>
      <vt:lpstr>Landsmøtet</vt:lpstr>
      <vt:lpstr>Høstmøtet</vt:lpstr>
      <vt:lpstr>Jukselapp-deltakelse</vt:lpstr>
      <vt:lpstr>Knuts huskeliste</vt:lpstr>
      <vt:lpstr>Knuts jukselapp2</vt:lpstr>
      <vt:lpstr>Noter etter endring</vt:lpstr>
      <vt:lpstr>Kompaz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Berge, Knut Audun Monen</dc:creator>
  <cp:lastModifiedBy>CISV Norge 1</cp:lastModifiedBy>
  <cp:revision/>
  <cp:lastPrinted>2018-10-20T14:36:20Z</cp:lastPrinted>
  <dcterms:created xsi:type="dcterms:W3CDTF">2017-02-27T08:03:57Z</dcterms:created>
  <dcterms:modified xsi:type="dcterms:W3CDTF">2019-11-01T11:04:32Z</dcterms:modified>
</cp:coreProperties>
</file>