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igridk\Downloads\"/>
    </mc:Choice>
  </mc:AlternateContent>
  <xr:revisionPtr revIDLastSave="0" documentId="13_ncr:1_{C5856120-5237-4637-8C34-89DB733498A4}" xr6:coauthVersionLast="47" xr6:coauthVersionMax="47" xr10:uidLastSave="{00000000-0000-0000-0000-000000000000}"/>
  <workbookProtection workbookAlgorithmName="SHA-512" workbookHashValue="OBQv9wGo1pgF64o8KNL3bZVZR89mKlC1fDhOb5b6ZFH1UxKxD2KYFw6hGaq2OvHziawobJuHSKzo+yqPIZ79xQ==" workbookSaltValue="ZyGl1l2RuGWJb0oxjLgMkg==" workbookSpinCount="100000" lockStructure="1"/>
  <bookViews>
    <workbookView xWindow="-28920" yWindow="-1755" windowWidth="29040" windowHeight="17640" xr2:uid="{00000000-000D-0000-FFFF-FFFF00000000}"/>
  </bookViews>
  <sheets>
    <sheet name="Budsjettanalyse" sheetId="1" r:id="rId1"/>
    <sheet name="Budsjett" sheetId="2" r:id="rId2"/>
    <sheet name="Sentralt" sheetId="3" r:id="rId3"/>
    <sheet name="Program" sheetId="4" r:id="rId4"/>
    <sheet name="Progr. konstanter og variabler" sheetId="5" r:id="rId5"/>
    <sheet name="Komitéer" sheetId="6" r:id="rId6"/>
    <sheet name="Prosjekter" sheetId="7" r:id="rId7"/>
    <sheet name="Prisberegning" sheetId="8" r:id="rId8"/>
    <sheet name="Høstmøtet" sheetId="9" r:id="rId9"/>
    <sheet name="Landsmøtet" sheetId="10" r:id="rId10"/>
    <sheet name="FinansFond" sheetId="11" r:id="rId11"/>
    <sheet name="Jukselapp-deltakelse" sheetId="12" r:id="rId12"/>
    <sheet name="Knuts huskeliste" sheetId="13" state="hidden" r:id="rId13"/>
    <sheet name="Knuts jukselapp2" sheetId="14" r:id="rId14"/>
    <sheet name="Noter etter endring" sheetId="15" state="hidden" r:id="rId15"/>
    <sheet name="Kompaz" sheetId="16" state="hidden" r:id="rId16"/>
  </sheets>
  <definedNames>
    <definedName name="Z_845F3A43_EF96_4057_9777_D2F2301CC149_.wvu.Cols" localSheetId="1">#REF!</definedName>
    <definedName name="Z_845F3A43_EF96_4057_9777_D2F2301CC149_.wvu.Cols" localSheetId="7">#REF!</definedName>
    <definedName name="Z_BE76FD70_CA4C_4303_ADB2_BCDE1C445427_.wvu.Cols" localSheetId="1">#REF!</definedName>
    <definedName name="Z_BE76FD70_CA4C_4303_ADB2_BCDE1C445427_.wvu.Cols" localSheetId="7">#REF!</definedName>
    <definedName name="Z_CF50DB9B_0F8D_41A5_9576_F9345942CE97_.wvu.Cols" localSheetId="1">#REF!</definedName>
    <definedName name="Z_CF50DB9B_0F8D_41A5_9576_F9345942CE97_.wvu.Cols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0" roundtripDataSignature="AMtx7mgmTOaZp7SB+C8Nr7preHtVXIbPEQ=="/>
    </ext>
  </extLst>
</workbook>
</file>

<file path=xl/calcChain.xml><?xml version="1.0" encoding="utf-8"?>
<calcChain xmlns="http://schemas.openxmlformats.org/spreadsheetml/2006/main">
  <c r="I34" i="14" l="1"/>
  <c r="I33" i="14"/>
  <c r="I32" i="14"/>
  <c r="J19" i="14"/>
  <c r="H19" i="14"/>
  <c r="J18" i="14"/>
  <c r="F14" i="14"/>
  <c r="F15" i="14" s="1"/>
  <c r="H13" i="14"/>
  <c r="H9" i="14"/>
  <c r="F9" i="14"/>
  <c r="I9" i="14" s="1"/>
  <c r="D9" i="14"/>
  <c r="I6" i="14"/>
  <c r="I4" i="14"/>
  <c r="I2" i="14"/>
  <c r="D2" i="14"/>
  <c r="H117" i="12"/>
  <c r="H116" i="12"/>
  <c r="H114" i="12"/>
  <c r="H113" i="12"/>
  <c r="H112" i="12"/>
  <c r="H111" i="12"/>
  <c r="H109" i="12"/>
  <c r="H108" i="12"/>
  <c r="H106" i="12"/>
  <c r="H105" i="12"/>
  <c r="H104" i="12"/>
  <c r="H103" i="12"/>
  <c r="I97" i="12"/>
  <c r="H97" i="12"/>
  <c r="G92" i="12"/>
  <c r="E90" i="12"/>
  <c r="G88" i="12"/>
  <c r="F84" i="12"/>
  <c r="J83" i="12"/>
  <c r="I83" i="12"/>
  <c r="G83" i="12"/>
  <c r="H62" i="12"/>
  <c r="H61" i="12"/>
  <c r="H60" i="12"/>
  <c r="H59" i="12"/>
  <c r="H58" i="12"/>
  <c r="H57" i="12"/>
  <c r="N37" i="12"/>
  <c r="N36" i="12"/>
  <c r="N35" i="12"/>
  <c r="N34" i="12"/>
  <c r="N33" i="12"/>
  <c r="N32" i="12"/>
  <c r="N30" i="12"/>
  <c r="N29" i="12"/>
  <c r="O30" i="12" s="1"/>
  <c r="N28" i="12"/>
  <c r="N27" i="12"/>
  <c r="L25" i="12"/>
  <c r="H25" i="12"/>
  <c r="L24" i="12"/>
  <c r="H24" i="12"/>
  <c r="L23" i="12"/>
  <c r="H23" i="12"/>
  <c r="L22" i="12"/>
  <c r="H22" i="12"/>
  <c r="H21" i="12"/>
  <c r="H20" i="12"/>
  <c r="H19" i="12"/>
  <c r="H18" i="12"/>
  <c r="L17" i="12"/>
  <c r="H17" i="12"/>
  <c r="H16" i="12"/>
  <c r="H15" i="12"/>
  <c r="L14" i="12"/>
  <c r="H14" i="12"/>
  <c r="L13" i="12"/>
  <c r="H13" i="12"/>
  <c r="L10" i="12"/>
  <c r="L6" i="12"/>
  <c r="D6" i="12"/>
  <c r="D5" i="12"/>
  <c r="D2" i="12"/>
  <c r="G12" i="11"/>
  <c r="E10" i="11"/>
  <c r="C10" i="11"/>
  <c r="G9" i="11"/>
  <c r="F9" i="11"/>
  <c r="G8" i="11"/>
  <c r="F8" i="11"/>
  <c r="G7" i="11"/>
  <c r="G6" i="11"/>
  <c r="H65" i="10"/>
  <c r="G65" i="10"/>
  <c r="H59" i="10"/>
  <c r="G59" i="10"/>
  <c r="I50" i="10"/>
  <c r="I49" i="10"/>
  <c r="G46" i="10"/>
  <c r="N45" i="10"/>
  <c r="I45" i="10"/>
  <c r="I44" i="10"/>
  <c r="N44" i="10" s="1"/>
  <c r="N43" i="10"/>
  <c r="I43" i="10"/>
  <c r="I42" i="10"/>
  <c r="N42" i="10" s="1"/>
  <c r="C7" i="6" s="1"/>
  <c r="I41" i="10"/>
  <c r="N41" i="10" s="1"/>
  <c r="H7" i="6" s="1"/>
  <c r="I40" i="10"/>
  <c r="N40" i="10" s="1"/>
  <c r="I39" i="10"/>
  <c r="N39" i="10" s="1"/>
  <c r="I7" i="6" s="1"/>
  <c r="I38" i="10"/>
  <c r="N38" i="10" s="1"/>
  <c r="E7" i="6" s="1"/>
  <c r="I37" i="10"/>
  <c r="H26" i="10"/>
  <c r="H25" i="10"/>
  <c r="P16" i="10"/>
  <c r="P17" i="10" s="1"/>
  <c r="P15" i="10"/>
  <c r="P14" i="10"/>
  <c r="J11" i="10"/>
  <c r="G51" i="10" s="1"/>
  <c r="G52" i="10" s="1"/>
  <c r="O7" i="10"/>
  <c r="M7" i="10"/>
  <c r="J7" i="10"/>
  <c r="H7" i="10"/>
  <c r="G7" i="10"/>
  <c r="M6" i="10"/>
  <c r="J6" i="10"/>
  <c r="H6" i="10"/>
  <c r="G6" i="10"/>
  <c r="O5" i="10"/>
  <c r="M5" i="10"/>
  <c r="N5" i="10" s="1"/>
  <c r="J5" i="10"/>
  <c r="H5" i="10"/>
  <c r="G5" i="10"/>
  <c r="O4" i="10"/>
  <c r="M4" i="10"/>
  <c r="J4" i="10"/>
  <c r="K4" i="10" s="1"/>
  <c r="I65" i="9"/>
  <c r="H65" i="9"/>
  <c r="J65" i="9" s="1"/>
  <c r="J64" i="9"/>
  <c r="O64" i="9" s="1"/>
  <c r="O63" i="9"/>
  <c r="J63" i="9"/>
  <c r="J62" i="9"/>
  <c r="O62" i="9" s="1"/>
  <c r="J61" i="9"/>
  <c r="I56" i="9"/>
  <c r="J55" i="9"/>
  <c r="O55" i="9" s="1"/>
  <c r="O54" i="9"/>
  <c r="J54" i="9"/>
  <c r="H53" i="9"/>
  <c r="I50" i="9"/>
  <c r="H50" i="9"/>
  <c r="O49" i="9"/>
  <c r="J49" i="9"/>
  <c r="I46" i="9"/>
  <c r="I58" i="9" s="1"/>
  <c r="I67" i="9" s="1"/>
  <c r="H46" i="9"/>
  <c r="O45" i="9"/>
  <c r="D6" i="6" s="1"/>
  <c r="J45" i="9"/>
  <c r="J44" i="9"/>
  <c r="O44" i="9" s="1"/>
  <c r="O43" i="9"/>
  <c r="J43" i="9"/>
  <c r="J42" i="9"/>
  <c r="O42" i="9" s="1"/>
  <c r="J41" i="9"/>
  <c r="J40" i="9"/>
  <c r="O39" i="9"/>
  <c r="J39" i="9"/>
  <c r="H28" i="9"/>
  <c r="H27" i="9"/>
  <c r="Y20" i="9"/>
  <c r="Y19" i="9"/>
  <c r="P19" i="9"/>
  <c r="P18" i="9"/>
  <c r="H18" i="9"/>
  <c r="P17" i="9"/>
  <c r="H17" i="9"/>
  <c r="Y16" i="9"/>
  <c r="P16" i="9"/>
  <c r="Y15" i="9"/>
  <c r="P15" i="9"/>
  <c r="Y14" i="9"/>
  <c r="P14" i="9"/>
  <c r="P20" i="9" s="1"/>
  <c r="W10" i="9"/>
  <c r="W9" i="9"/>
  <c r="Y9" i="9" s="1"/>
  <c r="V7" i="9"/>
  <c r="U7" i="9"/>
  <c r="S7" i="9"/>
  <c r="T7" i="9" s="1"/>
  <c r="P7" i="9"/>
  <c r="O7" i="9"/>
  <c r="M7" i="9"/>
  <c r="N7" i="9" s="1"/>
  <c r="J7" i="9"/>
  <c r="K7" i="9" s="1"/>
  <c r="H7" i="9"/>
  <c r="W6" i="9"/>
  <c r="U6" i="9"/>
  <c r="V6" i="9" s="1"/>
  <c r="X6" i="9" s="1"/>
  <c r="S6" i="9"/>
  <c r="O6" i="9"/>
  <c r="N6" i="9"/>
  <c r="M6" i="9"/>
  <c r="J6" i="9"/>
  <c r="H6" i="9"/>
  <c r="U5" i="9"/>
  <c r="V5" i="9" s="1"/>
  <c r="S5" i="9"/>
  <c r="T5" i="9" s="1"/>
  <c r="M5" i="9"/>
  <c r="K5" i="9"/>
  <c r="J5" i="9"/>
  <c r="H5" i="9"/>
  <c r="X4" i="9"/>
  <c r="U4" i="9"/>
  <c r="V4" i="9" s="1"/>
  <c r="S4" i="9"/>
  <c r="T4" i="9" s="1"/>
  <c r="N24" i="8"/>
  <c r="K24" i="8"/>
  <c r="N21" i="8"/>
  <c r="M21" i="8"/>
  <c r="K21" i="8"/>
  <c r="J21" i="8"/>
  <c r="N20" i="8"/>
  <c r="M20" i="8"/>
  <c r="K20" i="8"/>
  <c r="J20" i="8"/>
  <c r="N18" i="8"/>
  <c r="M18" i="8"/>
  <c r="K18" i="8"/>
  <c r="J18" i="8"/>
  <c r="N15" i="8"/>
  <c r="M15" i="8"/>
  <c r="K15" i="8"/>
  <c r="J15" i="8"/>
  <c r="N14" i="8"/>
  <c r="M14" i="8"/>
  <c r="K14" i="8"/>
  <c r="J14" i="8"/>
  <c r="N13" i="8"/>
  <c r="M13" i="8"/>
  <c r="K13" i="8"/>
  <c r="J13" i="8"/>
  <c r="N12" i="8"/>
  <c r="M12" i="8"/>
  <c r="K12" i="8"/>
  <c r="J12" i="8"/>
  <c r="N9" i="8"/>
  <c r="K9" i="8"/>
  <c r="N8" i="8"/>
  <c r="M8" i="8"/>
  <c r="K8" i="8"/>
  <c r="J8" i="8"/>
  <c r="N7" i="8"/>
  <c r="M7" i="8"/>
  <c r="K7" i="8"/>
  <c r="J7" i="8"/>
  <c r="N6" i="8"/>
  <c r="M6" i="8"/>
  <c r="K6" i="8"/>
  <c r="J6" i="8"/>
  <c r="N5" i="8"/>
  <c r="M5" i="8"/>
  <c r="K5" i="8"/>
  <c r="J5" i="8"/>
  <c r="H13" i="7"/>
  <c r="G13" i="7"/>
  <c r="F13" i="7"/>
  <c r="E13" i="7"/>
  <c r="D13" i="7"/>
  <c r="K17" i="6"/>
  <c r="J17" i="6"/>
  <c r="J18" i="6" s="1"/>
  <c r="H17" i="6"/>
  <c r="G17" i="6"/>
  <c r="F17" i="6"/>
  <c r="E17" i="6"/>
  <c r="D17" i="6"/>
  <c r="C17" i="6"/>
  <c r="I15" i="6"/>
  <c r="I17" i="6" s="1"/>
  <c r="K11" i="6"/>
  <c r="K18" i="6" s="1"/>
  <c r="L10" i="6"/>
  <c r="L9" i="6"/>
  <c r="L8" i="6"/>
  <c r="K7" i="6"/>
  <c r="J7" i="6"/>
  <c r="J11" i="6" s="1"/>
  <c r="G7" i="6"/>
  <c r="D7" i="6"/>
  <c r="H6" i="6"/>
  <c r="G6" i="6"/>
  <c r="G11" i="6" s="1"/>
  <c r="G18" i="6" s="1"/>
  <c r="F6" i="6"/>
  <c r="C6" i="6"/>
  <c r="L5" i="6"/>
  <c r="F5" i="6"/>
  <c r="E5" i="6"/>
  <c r="D5" i="6"/>
  <c r="L4" i="6"/>
  <c r="C4" i="6"/>
  <c r="C3" i="6"/>
  <c r="F88" i="5"/>
  <c r="E88" i="5"/>
  <c r="C88" i="5"/>
  <c r="B88" i="5"/>
  <c r="F87" i="5"/>
  <c r="C87" i="5"/>
  <c r="B87" i="5"/>
  <c r="F86" i="5"/>
  <c r="B86" i="5"/>
  <c r="E78" i="5"/>
  <c r="D78" i="5"/>
  <c r="C78" i="5"/>
  <c r="B78" i="5"/>
  <c r="D76" i="5"/>
  <c r="D75" i="5"/>
  <c r="B75" i="5"/>
  <c r="D74" i="5"/>
  <c r="C74" i="5"/>
  <c r="D73" i="5"/>
  <c r="C73" i="5"/>
  <c r="E68" i="5"/>
  <c r="D66" i="5"/>
  <c r="C66" i="5"/>
  <c r="B66" i="5"/>
  <c r="D65" i="5"/>
  <c r="C65" i="5"/>
  <c r="B65" i="5"/>
  <c r="B64" i="5"/>
  <c r="F54" i="5"/>
  <c r="C54" i="5"/>
  <c r="C55" i="5" s="1"/>
  <c r="F53" i="5"/>
  <c r="E53" i="5"/>
  <c r="D53" i="5"/>
  <c r="B53" i="5" s="1"/>
  <c r="F52" i="5"/>
  <c r="E52" i="5"/>
  <c r="E54" i="5" s="1"/>
  <c r="D52" i="5"/>
  <c r="D54" i="5" s="1"/>
  <c r="C52" i="5"/>
  <c r="F51" i="5"/>
  <c r="E51" i="5"/>
  <c r="E55" i="5" s="1"/>
  <c r="D51" i="5"/>
  <c r="D55" i="5" s="1"/>
  <c r="C51" i="5"/>
  <c r="B51" i="5"/>
  <c r="E11" i="5" s="1"/>
  <c r="D18" i="4" s="1"/>
  <c r="B50" i="5"/>
  <c r="D89" i="5" s="1"/>
  <c r="B47" i="5"/>
  <c r="G30" i="5"/>
  <c r="H28" i="5"/>
  <c r="G28" i="5"/>
  <c r="F28" i="5"/>
  <c r="E28" i="5"/>
  <c r="D28" i="5"/>
  <c r="C28" i="5"/>
  <c r="B28" i="5"/>
  <c r="G26" i="5"/>
  <c r="F26" i="5"/>
  <c r="E26" i="5"/>
  <c r="D26" i="5"/>
  <c r="B26" i="5"/>
  <c r="E23" i="5"/>
  <c r="G21" i="5"/>
  <c r="G24" i="5" s="1"/>
  <c r="H20" i="5"/>
  <c r="H21" i="5" s="1"/>
  <c r="G20" i="5"/>
  <c r="F20" i="5"/>
  <c r="D20" i="5"/>
  <c r="C20" i="5"/>
  <c r="B20" i="5"/>
  <c r="H19" i="5"/>
  <c r="F19" i="5"/>
  <c r="C19" i="5"/>
  <c r="C21" i="5" s="1"/>
  <c r="B19" i="5"/>
  <c r="G18" i="5"/>
  <c r="G19" i="5" s="1"/>
  <c r="F18" i="5"/>
  <c r="E18" i="5"/>
  <c r="D18" i="5"/>
  <c r="D19" i="5" s="1"/>
  <c r="B18" i="5"/>
  <c r="B21" i="5" s="1"/>
  <c r="B24" i="5" s="1"/>
  <c r="H16" i="5"/>
  <c r="G16" i="5"/>
  <c r="F16" i="5"/>
  <c r="E86" i="5" s="1"/>
  <c r="D16" i="5"/>
  <c r="C86" i="5" s="1"/>
  <c r="B16" i="5"/>
  <c r="G8" i="5"/>
  <c r="G11" i="5" s="1"/>
  <c r="G12" i="5" s="1"/>
  <c r="E8" i="5"/>
  <c r="H7" i="5"/>
  <c r="G7" i="5"/>
  <c r="F7" i="5"/>
  <c r="D7" i="5"/>
  <c r="C7" i="5"/>
  <c r="B7" i="5"/>
  <c r="H6" i="5"/>
  <c r="G6" i="5"/>
  <c r="F6" i="5"/>
  <c r="F8" i="5" s="1"/>
  <c r="F11" i="5" s="1"/>
  <c r="D6" i="5"/>
  <c r="C6" i="5"/>
  <c r="B6" i="5"/>
  <c r="E5" i="5"/>
  <c r="D66" i="4"/>
  <c r="G55" i="4"/>
  <c r="G48" i="4"/>
  <c r="G47" i="4"/>
  <c r="G46" i="4"/>
  <c r="G41" i="4"/>
  <c r="G40" i="4"/>
  <c r="G39" i="4"/>
  <c r="D37" i="4"/>
  <c r="F36" i="4"/>
  <c r="E36" i="4"/>
  <c r="D36" i="4"/>
  <c r="C36" i="4"/>
  <c r="G36" i="4" s="1"/>
  <c r="B36" i="4"/>
  <c r="F33" i="4"/>
  <c r="E33" i="4"/>
  <c r="C33" i="4"/>
  <c r="B33" i="4"/>
  <c r="C32" i="4"/>
  <c r="G32" i="4" s="1"/>
  <c r="B32" i="4"/>
  <c r="C31" i="4"/>
  <c r="B31" i="4"/>
  <c r="G31" i="4" s="1"/>
  <c r="C30" i="4"/>
  <c r="B30" i="4"/>
  <c r="G30" i="4" s="1"/>
  <c r="D26" i="4"/>
  <c r="D21" i="4"/>
  <c r="D64" i="4" s="1"/>
  <c r="G17" i="4"/>
  <c r="C8" i="4"/>
  <c r="B8" i="4"/>
  <c r="D6" i="4"/>
  <c r="D4" i="4"/>
  <c r="D28" i="4" s="1"/>
  <c r="L2" i="4"/>
  <c r="E163" i="3"/>
  <c r="E162" i="3"/>
  <c r="E161" i="3"/>
  <c r="F160" i="3"/>
  <c r="C155" i="3"/>
  <c r="E155" i="3" s="1"/>
  <c r="F153" i="3"/>
  <c r="D65" i="2" s="1"/>
  <c r="C65" i="2" s="1"/>
  <c r="E151" i="3"/>
  <c r="F149" i="3" s="1"/>
  <c r="E148" i="3"/>
  <c r="E143" i="3"/>
  <c r="F135" i="3"/>
  <c r="D57" i="2" s="1"/>
  <c r="C57" i="2" s="1"/>
  <c r="C65" i="1" s="1"/>
  <c r="E134" i="3"/>
  <c r="E133" i="3"/>
  <c r="E126" i="3"/>
  <c r="F124" i="3" s="1"/>
  <c r="D54" i="2" s="1"/>
  <c r="C54" i="2" s="1"/>
  <c r="C62" i="1" s="1"/>
  <c r="E125" i="3"/>
  <c r="E120" i="3"/>
  <c r="E119" i="3"/>
  <c r="E118" i="3"/>
  <c r="E117" i="3"/>
  <c r="E116" i="3"/>
  <c r="E114" i="3"/>
  <c r="E113" i="3"/>
  <c r="E112" i="3"/>
  <c r="E111" i="3"/>
  <c r="F109" i="3"/>
  <c r="D52" i="2" s="1"/>
  <c r="C52" i="2" s="1"/>
  <c r="C60" i="1" s="1"/>
  <c r="F103" i="3"/>
  <c r="F102" i="3"/>
  <c r="F99" i="3"/>
  <c r="E98" i="3"/>
  <c r="E97" i="3"/>
  <c r="E96" i="3"/>
  <c r="E92" i="3"/>
  <c r="F89" i="3" s="1"/>
  <c r="E91" i="3"/>
  <c r="E90" i="3"/>
  <c r="E80" i="3"/>
  <c r="B80" i="3"/>
  <c r="E79" i="3"/>
  <c r="E78" i="3"/>
  <c r="B78" i="3"/>
  <c r="E77" i="3"/>
  <c r="B76" i="3"/>
  <c r="E76" i="3" s="1"/>
  <c r="F75" i="3"/>
  <c r="F71" i="3"/>
  <c r="C71" i="3"/>
  <c r="F70" i="3"/>
  <c r="F69" i="3"/>
  <c r="D29" i="2" s="1"/>
  <c r="C29" i="2" s="1"/>
  <c r="C30" i="1" s="1"/>
  <c r="C69" i="3"/>
  <c r="E68" i="3"/>
  <c r="C67" i="3"/>
  <c r="B67" i="3"/>
  <c r="E67" i="3" s="1"/>
  <c r="C66" i="3"/>
  <c r="B66" i="3"/>
  <c r="E66" i="3" s="1"/>
  <c r="E65" i="3"/>
  <c r="C65" i="3"/>
  <c r="L57" i="3"/>
  <c r="L58" i="3" s="1"/>
  <c r="L54" i="3" s="1"/>
  <c r="F56" i="3"/>
  <c r="F55" i="3"/>
  <c r="B50" i="3"/>
  <c r="E50" i="3" s="1"/>
  <c r="F48" i="3" s="1"/>
  <c r="D12" i="2" s="1"/>
  <c r="C12" i="2" s="1"/>
  <c r="C11" i="1" s="1"/>
  <c r="E49" i="3"/>
  <c r="F47" i="3"/>
  <c r="C70" i="3" s="1"/>
  <c r="E46" i="3"/>
  <c r="F45" i="3" s="1"/>
  <c r="D9" i="2" s="1"/>
  <c r="F42" i="3"/>
  <c r="D5" i="2" s="1"/>
  <c r="J36" i="3"/>
  <c r="H36" i="3"/>
  <c r="E131" i="3" s="1"/>
  <c r="F36" i="3"/>
  <c r="E144" i="3" s="1"/>
  <c r="D36" i="3"/>
  <c r="M35" i="3"/>
  <c r="M33" i="3"/>
  <c r="M32" i="3"/>
  <c r="L29" i="3"/>
  <c r="J29" i="3"/>
  <c r="E147" i="3" s="1"/>
  <c r="H29" i="3"/>
  <c r="E130" i="3" s="1"/>
  <c r="F29" i="3"/>
  <c r="D29" i="3"/>
  <c r="M28" i="3"/>
  <c r="M27" i="3"/>
  <c r="M26" i="3"/>
  <c r="M25" i="3"/>
  <c r="M24" i="3"/>
  <c r="L21" i="3"/>
  <c r="O18" i="3"/>
  <c r="P18" i="3" s="1"/>
  <c r="J18" i="3"/>
  <c r="I18" i="3"/>
  <c r="G18" i="3"/>
  <c r="H18" i="3" s="1"/>
  <c r="M18" i="3" s="1"/>
  <c r="F18" i="3"/>
  <c r="D18" i="3"/>
  <c r="O17" i="3"/>
  <c r="P17" i="3" s="1"/>
  <c r="I17" i="3"/>
  <c r="J17" i="3" s="1"/>
  <c r="G17" i="3"/>
  <c r="H17" i="3" s="1"/>
  <c r="F17" i="3"/>
  <c r="D17" i="3"/>
  <c r="M16" i="3"/>
  <c r="N16" i="3" s="1"/>
  <c r="J15" i="3"/>
  <c r="H15" i="3"/>
  <c r="F15" i="3"/>
  <c r="M15" i="3" s="1"/>
  <c r="M14" i="3"/>
  <c r="M13" i="3"/>
  <c r="G13" i="3"/>
  <c r="H13" i="3" s="1"/>
  <c r="F13" i="3"/>
  <c r="M12" i="3"/>
  <c r="H12" i="3"/>
  <c r="F12" i="3"/>
  <c r="F11" i="3"/>
  <c r="M11" i="3" s="1"/>
  <c r="M10" i="3"/>
  <c r="C99" i="2"/>
  <c r="B99" i="2"/>
  <c r="A99" i="2"/>
  <c r="C98" i="2"/>
  <c r="B98" i="2"/>
  <c r="A98" i="2"/>
  <c r="C97" i="2"/>
  <c r="B97" i="2"/>
  <c r="A97" i="2"/>
  <c r="C96" i="2"/>
  <c r="B96" i="2"/>
  <c r="A96" i="2"/>
  <c r="B95" i="2"/>
  <c r="A95" i="2"/>
  <c r="B94" i="2"/>
  <c r="A94" i="2"/>
  <c r="B89" i="2"/>
  <c r="B88" i="2"/>
  <c r="A88" i="2"/>
  <c r="B87" i="2"/>
  <c r="A87" i="2"/>
  <c r="B86" i="2"/>
  <c r="A86" i="2"/>
  <c r="B85" i="2"/>
  <c r="A85" i="2"/>
  <c r="C84" i="2"/>
  <c r="B84" i="2"/>
  <c r="B83" i="2"/>
  <c r="B82" i="2"/>
  <c r="A82" i="2"/>
  <c r="C81" i="2"/>
  <c r="C83" i="2" s="1"/>
  <c r="C91" i="2" s="1"/>
  <c r="B81" i="2"/>
  <c r="A81" i="2"/>
  <c r="G74" i="2"/>
  <c r="D73" i="2"/>
  <c r="C73" i="2"/>
  <c r="C82" i="1" s="1"/>
  <c r="B73" i="2"/>
  <c r="A73" i="2"/>
  <c r="C72" i="2"/>
  <c r="B72" i="2"/>
  <c r="A72" i="2"/>
  <c r="C71" i="2"/>
  <c r="B71" i="2"/>
  <c r="A71" i="2"/>
  <c r="D70" i="2"/>
  <c r="C70" i="2" s="1"/>
  <c r="C79" i="1" s="1"/>
  <c r="B70" i="2"/>
  <c r="A70" i="2"/>
  <c r="C69" i="2"/>
  <c r="C78" i="1" s="1"/>
  <c r="B69" i="2"/>
  <c r="A69" i="2"/>
  <c r="D68" i="2"/>
  <c r="C68" i="2"/>
  <c r="B68" i="2"/>
  <c r="A68" i="2"/>
  <c r="C67" i="2"/>
  <c r="B67" i="2"/>
  <c r="A67" i="2"/>
  <c r="G66" i="2"/>
  <c r="C66" i="2"/>
  <c r="A66" i="2"/>
  <c r="B65" i="2"/>
  <c r="A65" i="2"/>
  <c r="B64" i="2"/>
  <c r="A64" i="2"/>
  <c r="D63" i="2"/>
  <c r="C63" i="2" s="1"/>
  <c r="B63" i="2"/>
  <c r="A63" i="2"/>
  <c r="B62" i="2"/>
  <c r="A62" i="2"/>
  <c r="B61" i="2"/>
  <c r="A61" i="2"/>
  <c r="C60" i="2"/>
  <c r="B60" i="2"/>
  <c r="A60" i="2"/>
  <c r="D59" i="2"/>
  <c r="C59" i="2" s="1"/>
  <c r="C67" i="1" s="1"/>
  <c r="B59" i="2"/>
  <c r="A59" i="2"/>
  <c r="F58" i="2"/>
  <c r="D58" i="2"/>
  <c r="B58" i="2"/>
  <c r="A58" i="2"/>
  <c r="F57" i="2"/>
  <c r="B57" i="2"/>
  <c r="A57" i="2"/>
  <c r="B56" i="2"/>
  <c r="A56" i="2"/>
  <c r="B55" i="2"/>
  <c r="A55" i="2"/>
  <c r="B54" i="2"/>
  <c r="A54" i="2"/>
  <c r="D53" i="2"/>
  <c r="C53" i="2" s="1"/>
  <c r="C61" i="1" s="1"/>
  <c r="B53" i="2"/>
  <c r="A53" i="2"/>
  <c r="F52" i="2"/>
  <c r="B52" i="2"/>
  <c r="A52" i="2"/>
  <c r="D51" i="2"/>
  <c r="C51" i="2" s="1"/>
  <c r="C57" i="1" s="1"/>
  <c r="B51" i="2"/>
  <c r="A51" i="2"/>
  <c r="D50" i="2"/>
  <c r="C50" i="2" s="1"/>
  <c r="B50" i="2"/>
  <c r="A50" i="2"/>
  <c r="D49" i="2"/>
  <c r="C49" i="2" s="1"/>
  <c r="B49" i="2"/>
  <c r="A49" i="2"/>
  <c r="D48" i="2"/>
  <c r="C48" i="2" s="1"/>
  <c r="B48" i="2"/>
  <c r="A48" i="2"/>
  <c r="D47" i="2"/>
  <c r="C47" i="2" s="1"/>
  <c r="C52" i="1" s="1"/>
  <c r="B47" i="2"/>
  <c r="A47" i="2"/>
  <c r="D46" i="2"/>
  <c r="C46" i="2" s="1"/>
  <c r="B46" i="2"/>
  <c r="A46" i="2"/>
  <c r="B45" i="2"/>
  <c r="A45" i="2"/>
  <c r="B44" i="2"/>
  <c r="A44" i="2"/>
  <c r="B43" i="2"/>
  <c r="A43" i="2"/>
  <c r="G41" i="2"/>
  <c r="F41" i="2"/>
  <c r="E41" i="2"/>
  <c r="D40" i="2"/>
  <c r="C40" i="2"/>
  <c r="C45" i="1" s="1"/>
  <c r="B40" i="2"/>
  <c r="A40" i="2"/>
  <c r="B39" i="2"/>
  <c r="A39" i="2"/>
  <c r="B38" i="2"/>
  <c r="A38" i="2"/>
  <c r="B37" i="2"/>
  <c r="A37" i="2"/>
  <c r="B36" i="2"/>
  <c r="A36" i="2"/>
  <c r="B35" i="2"/>
  <c r="A35" i="2"/>
  <c r="F33" i="2"/>
  <c r="G32" i="2"/>
  <c r="C32" i="2" s="1"/>
  <c r="B32" i="2"/>
  <c r="A32" i="2"/>
  <c r="D31" i="2"/>
  <c r="C31" i="2" s="1"/>
  <c r="C32" i="1" s="1"/>
  <c r="B31" i="2"/>
  <c r="A31" i="2"/>
  <c r="D30" i="2"/>
  <c r="C30" i="2" s="1"/>
  <c r="B30" i="2"/>
  <c r="A30" i="2"/>
  <c r="B29" i="2"/>
  <c r="A29" i="2"/>
  <c r="B28" i="2"/>
  <c r="A28" i="2"/>
  <c r="F27" i="2"/>
  <c r="B27" i="2"/>
  <c r="A27" i="2"/>
  <c r="E26" i="2"/>
  <c r="D26" i="2"/>
  <c r="C26" i="2"/>
  <c r="B26" i="2"/>
  <c r="A26" i="2"/>
  <c r="F23" i="2"/>
  <c r="F21" i="2"/>
  <c r="D20" i="2"/>
  <c r="C20" i="2"/>
  <c r="B20" i="2"/>
  <c r="A20" i="2"/>
  <c r="D19" i="2"/>
  <c r="C19" i="2"/>
  <c r="B19" i="2"/>
  <c r="A19" i="2"/>
  <c r="D18" i="2"/>
  <c r="G18" i="2" s="1"/>
  <c r="G21" i="2" s="1"/>
  <c r="B18" i="2"/>
  <c r="A18" i="2"/>
  <c r="D17" i="2"/>
  <c r="C17" i="2" s="1"/>
  <c r="C16" i="1" s="1"/>
  <c r="B17" i="2"/>
  <c r="A17" i="2"/>
  <c r="B16" i="2"/>
  <c r="A16" i="2"/>
  <c r="B15" i="2"/>
  <c r="A15" i="2"/>
  <c r="D14" i="2"/>
  <c r="C14" i="2"/>
  <c r="C13" i="1" s="1"/>
  <c r="B14" i="2"/>
  <c r="A14" i="2"/>
  <c r="B13" i="2"/>
  <c r="A13" i="2"/>
  <c r="B12" i="2"/>
  <c r="A12" i="2"/>
  <c r="B11" i="2"/>
  <c r="A11" i="2"/>
  <c r="D10" i="2"/>
  <c r="C10" i="2"/>
  <c r="C9" i="1" s="1"/>
  <c r="B10" i="2"/>
  <c r="A10" i="2"/>
  <c r="B9" i="2"/>
  <c r="A9" i="2"/>
  <c r="G7" i="2"/>
  <c r="G23" i="2" s="1"/>
  <c r="F7" i="2"/>
  <c r="B6" i="2"/>
  <c r="A6" i="2"/>
  <c r="C5" i="2"/>
  <c r="B5" i="2"/>
  <c r="A5" i="2"/>
  <c r="D4" i="2"/>
  <c r="B4" i="2"/>
  <c r="A4" i="2"/>
  <c r="J108" i="1"/>
  <c r="I108" i="1"/>
  <c r="H108" i="1"/>
  <c r="G108" i="1"/>
  <c r="F108" i="1"/>
  <c r="E108" i="1"/>
  <c r="D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B103" i="1"/>
  <c r="A103" i="1"/>
  <c r="B102" i="1"/>
  <c r="A102" i="1"/>
  <c r="D98" i="1"/>
  <c r="J97" i="1"/>
  <c r="H97" i="1"/>
  <c r="F97" i="1"/>
  <c r="C97" i="1"/>
  <c r="J91" i="1"/>
  <c r="J98" i="1" s="1"/>
  <c r="I91" i="1"/>
  <c r="I98" i="1" s="1"/>
  <c r="H91" i="1"/>
  <c r="H98" i="1" s="1"/>
  <c r="G91" i="1"/>
  <c r="G98" i="1" s="1"/>
  <c r="F91" i="1"/>
  <c r="F98" i="1" s="1"/>
  <c r="F99" i="1" s="1"/>
  <c r="F109" i="1" s="1"/>
  <c r="E91" i="1"/>
  <c r="E98" i="1" s="1"/>
  <c r="C88" i="1"/>
  <c r="C91" i="1" s="1"/>
  <c r="C98" i="1" s="1"/>
  <c r="J84" i="1"/>
  <c r="G84" i="1"/>
  <c r="E84" i="1"/>
  <c r="J83" i="1"/>
  <c r="I83" i="1"/>
  <c r="G83" i="1"/>
  <c r="E83" i="1"/>
  <c r="D83" i="1"/>
  <c r="C81" i="1"/>
  <c r="C80" i="1"/>
  <c r="C77" i="1"/>
  <c r="C76" i="1"/>
  <c r="C74" i="1"/>
  <c r="C73" i="1"/>
  <c r="C71" i="1"/>
  <c r="C68" i="1"/>
  <c r="H67" i="1"/>
  <c r="H66" i="1"/>
  <c r="H83" i="1" s="1"/>
  <c r="C56" i="1"/>
  <c r="C55" i="1"/>
  <c r="C54" i="1"/>
  <c r="C51" i="1"/>
  <c r="J46" i="1"/>
  <c r="I46" i="1"/>
  <c r="H46" i="1"/>
  <c r="G46" i="1"/>
  <c r="D46" i="1"/>
  <c r="J35" i="1"/>
  <c r="I35" i="1"/>
  <c r="I84" i="1" s="1"/>
  <c r="H35" i="1"/>
  <c r="H84" i="1" s="1"/>
  <c r="G35" i="1"/>
  <c r="E35" i="1"/>
  <c r="D35" i="1"/>
  <c r="D84" i="1" s="1"/>
  <c r="C33" i="1"/>
  <c r="C31" i="1"/>
  <c r="C27" i="1"/>
  <c r="H24" i="1"/>
  <c r="H86" i="1" s="1"/>
  <c r="H99" i="1" s="1"/>
  <c r="H109" i="1" s="1"/>
  <c r="G24" i="1"/>
  <c r="G86" i="1" s="1"/>
  <c r="J23" i="1"/>
  <c r="I23" i="1"/>
  <c r="I24" i="1" s="1"/>
  <c r="H23" i="1"/>
  <c r="G23" i="1"/>
  <c r="E23" i="1"/>
  <c r="E24" i="1" s="1"/>
  <c r="E86" i="1" s="1"/>
  <c r="E99" i="1" s="1"/>
  <c r="E109" i="1" s="1"/>
  <c r="D23" i="1"/>
  <c r="C21" i="1"/>
  <c r="C19" i="1"/>
  <c r="J6" i="1"/>
  <c r="J24" i="1" s="1"/>
  <c r="J86" i="1" s="1"/>
  <c r="J99" i="1" s="1"/>
  <c r="J109" i="1" s="1"/>
  <c r="I6" i="1"/>
  <c r="H6" i="1"/>
  <c r="G6" i="1"/>
  <c r="E6" i="1"/>
  <c r="D6" i="1"/>
  <c r="D24" i="1" s="1"/>
  <c r="C4" i="1"/>
  <c r="M17" i="3" l="1"/>
  <c r="I86" i="1"/>
  <c r="I99" i="1" s="1"/>
  <c r="D43" i="2"/>
  <c r="L55" i="3"/>
  <c r="E15" i="2"/>
  <c r="G14" i="4"/>
  <c r="D86" i="1"/>
  <c r="D99" i="1" s="1"/>
  <c r="D109" i="1" s="1"/>
  <c r="G99" i="1"/>
  <c r="G109" i="1" s="1"/>
  <c r="K86" i="5"/>
  <c r="E55" i="4" s="1"/>
  <c r="G86" i="5"/>
  <c r="F64" i="3"/>
  <c r="I86" i="5"/>
  <c r="C55" i="4" s="1"/>
  <c r="C18" i="2"/>
  <c r="C17" i="1" s="1"/>
  <c r="F95" i="3"/>
  <c r="D45" i="2" s="1"/>
  <c r="C45" i="2" s="1"/>
  <c r="C50" i="1" s="1"/>
  <c r="E18" i="4"/>
  <c r="E37" i="4" s="1"/>
  <c r="F12" i="5"/>
  <c r="E66" i="4"/>
  <c r="E21" i="4"/>
  <c r="E64" i="4" s="1"/>
  <c r="E16" i="4"/>
  <c r="E35" i="4" s="1"/>
  <c r="C22" i="5"/>
  <c r="C23" i="5" s="1"/>
  <c r="C32" i="5" s="1"/>
  <c r="C24" i="5"/>
  <c r="H22" i="5"/>
  <c r="H23" i="5" s="1"/>
  <c r="H32" i="5" s="1"/>
  <c r="F20" i="4" s="1"/>
  <c r="H24" i="5"/>
  <c r="F55" i="5"/>
  <c r="Y4" i="9"/>
  <c r="C84" i="3"/>
  <c r="F84" i="3" s="1"/>
  <c r="D39" i="2" s="1"/>
  <c r="C39" i="2" s="1"/>
  <c r="C41" i="1" s="1"/>
  <c r="C82" i="3"/>
  <c r="F82" i="3" s="1"/>
  <c r="D37" i="2" s="1"/>
  <c r="C37" i="2" s="1"/>
  <c r="C39" i="1" s="1"/>
  <c r="D35" i="2"/>
  <c r="C81" i="3"/>
  <c r="F81" i="3" s="1"/>
  <c r="H56" i="9"/>
  <c r="J53" i="9"/>
  <c r="O6" i="10"/>
  <c r="N6" i="10"/>
  <c r="M29" i="3"/>
  <c r="C58" i="2"/>
  <c r="C66" i="1" s="1"/>
  <c r="M36" i="3"/>
  <c r="F132" i="3"/>
  <c r="D56" i="2" s="1"/>
  <c r="C56" i="2" s="1"/>
  <c r="C64" i="1" s="1"/>
  <c r="E6" i="4"/>
  <c r="G33" i="4"/>
  <c r="E27" i="2" s="1"/>
  <c r="D21" i="5"/>
  <c r="E84" i="5"/>
  <c r="X7" i="9"/>
  <c r="W7" i="9"/>
  <c r="B8" i="5"/>
  <c r="E20" i="5"/>
  <c r="E21" i="5"/>
  <c r="E24" i="5" s="1"/>
  <c r="E19" i="5"/>
  <c r="G22" i="5"/>
  <c r="G23" i="5" s="1"/>
  <c r="G32" i="5" s="1"/>
  <c r="H11" i="6"/>
  <c r="H18" i="6" s="1"/>
  <c r="N5" i="9"/>
  <c r="P5" i="9" s="1"/>
  <c r="O5" i="9"/>
  <c r="S11" i="9"/>
  <c r="S10" i="9" s="1"/>
  <c r="T10" i="9" s="1"/>
  <c r="Y10" i="9" s="1"/>
  <c r="O40" i="9"/>
  <c r="E6" i="6" s="1"/>
  <c r="J46" i="9"/>
  <c r="O61" i="9"/>
  <c r="I46" i="10"/>
  <c r="G33" i="2"/>
  <c r="G76" i="2" s="1"/>
  <c r="G78" i="2" s="1"/>
  <c r="G8" i="4"/>
  <c r="C8" i="5"/>
  <c r="B52" i="5"/>
  <c r="B54" i="5" s="1"/>
  <c r="H86" i="5"/>
  <c r="D11" i="6"/>
  <c r="D18" i="6" s="1"/>
  <c r="L6" i="6"/>
  <c r="L17" i="6"/>
  <c r="T6" i="9"/>
  <c r="Y6" i="9" s="1"/>
  <c r="Y7" i="9"/>
  <c r="N37" i="10"/>
  <c r="F7" i="6" s="1"/>
  <c r="F11" i="6" s="1"/>
  <c r="F18" i="6" s="1"/>
  <c r="L7" i="6"/>
  <c r="G61" i="10"/>
  <c r="E41" i="4"/>
  <c r="B22" i="5"/>
  <c r="B23" i="5" s="1"/>
  <c r="B32" i="5" s="1"/>
  <c r="B20" i="4" s="1"/>
  <c r="G88" i="5"/>
  <c r="C11" i="6"/>
  <c r="C18" i="6" s="1"/>
  <c r="L3" i="6"/>
  <c r="E11" i="6"/>
  <c r="E18" i="6" s="1"/>
  <c r="X5" i="9"/>
  <c r="X11" i="9" s="1"/>
  <c r="W5" i="9"/>
  <c r="Y5" i="9" s="1"/>
  <c r="O41" i="9"/>
  <c r="I6" i="6" s="1"/>
  <c r="I11" i="6" s="1"/>
  <c r="I18" i="6" s="1"/>
  <c r="O11" i="10"/>
  <c r="L65" i="10"/>
  <c r="O65" i="10" s="1"/>
  <c r="D19" i="3" s="1"/>
  <c r="V11" i="9"/>
  <c r="K6" i="9"/>
  <c r="P6" i="9" s="1"/>
  <c r="H58" i="9"/>
  <c r="H67" i="9" s="1"/>
  <c r="J11" i="9" s="1"/>
  <c r="O65" i="9"/>
  <c r="M11" i="10"/>
  <c r="K7" i="10"/>
  <c r="H90" i="12"/>
  <c r="C90" i="12"/>
  <c r="H8" i="5"/>
  <c r="F21" i="5"/>
  <c r="J89" i="5"/>
  <c r="L86" i="5"/>
  <c r="E87" i="5"/>
  <c r="G89" i="5"/>
  <c r="W4" i="9"/>
  <c r="W11" i="9" s="1"/>
  <c r="J50" i="9"/>
  <c r="N4" i="10"/>
  <c r="K5" i="10"/>
  <c r="N7" i="10"/>
  <c r="G54" i="10"/>
  <c r="I59" i="10"/>
  <c r="D8" i="5"/>
  <c r="K6" i="10"/>
  <c r="P6" i="10" s="1"/>
  <c r="H84" i="12"/>
  <c r="C84" i="12"/>
  <c r="H79" i="12"/>
  <c r="C27" i="2" l="1"/>
  <c r="C35" i="2"/>
  <c r="T11" i="9"/>
  <c r="C48" i="4"/>
  <c r="F72" i="3"/>
  <c r="D28" i="2"/>
  <c r="L6" i="4"/>
  <c r="C43" i="2"/>
  <c r="N11" i="10"/>
  <c r="C12" i="5"/>
  <c r="C11" i="5"/>
  <c r="B11" i="5"/>
  <c r="B84" i="5"/>
  <c r="O53" i="9"/>
  <c r="J56" i="9"/>
  <c r="D36" i="2"/>
  <c r="C36" i="2" s="1"/>
  <c r="C38" i="1" s="1"/>
  <c r="C83" i="3"/>
  <c r="F83" i="3" s="1"/>
  <c r="D38" i="2" s="1"/>
  <c r="C38" i="2" s="1"/>
  <c r="C40" i="1" s="1"/>
  <c r="Y11" i="9"/>
  <c r="Y21" i="9" s="1"/>
  <c r="K87" i="5"/>
  <c r="E56" i="4" s="1"/>
  <c r="G87" i="5"/>
  <c r="J88" i="5"/>
  <c r="L88" i="5"/>
  <c r="K88" i="5"/>
  <c r="F69" i="5"/>
  <c r="C41" i="4"/>
  <c r="D22" i="5"/>
  <c r="D23" i="5" s="1"/>
  <c r="D32" i="5" s="1"/>
  <c r="C20" i="4" s="1"/>
  <c r="D24" i="5"/>
  <c r="N59" i="10"/>
  <c r="L89" i="5"/>
  <c r="K89" i="5"/>
  <c r="I89" i="5"/>
  <c r="H89" i="5"/>
  <c r="F55" i="4"/>
  <c r="F41" i="4"/>
  <c r="H12" i="5"/>
  <c r="H11" i="5"/>
  <c r="P7" i="10"/>
  <c r="H88" i="5"/>
  <c r="B55" i="4"/>
  <c r="B41" i="4"/>
  <c r="M86" i="5"/>
  <c r="J7" i="4"/>
  <c r="N7" i="4" s="1"/>
  <c r="E9" i="2"/>
  <c r="H46" i="10"/>
  <c r="N46" i="10"/>
  <c r="O46" i="9"/>
  <c r="J58" i="9"/>
  <c r="J67" i="9" s="1"/>
  <c r="M11" i="9" s="1"/>
  <c r="B48" i="4"/>
  <c r="E48" i="4"/>
  <c r="F86" i="3"/>
  <c r="F53" i="3"/>
  <c r="D15" i="2"/>
  <c r="C15" i="2" s="1"/>
  <c r="C14" i="1" s="1"/>
  <c r="O50" i="9"/>
  <c r="E83" i="5"/>
  <c r="C84" i="5"/>
  <c r="D11" i="5"/>
  <c r="F24" i="5"/>
  <c r="F22" i="5"/>
  <c r="F23" i="5" s="1"/>
  <c r="F32" i="5" s="1"/>
  <c r="E20" i="4" s="1"/>
  <c r="D16" i="4"/>
  <c r="D35" i="4" s="1"/>
  <c r="E26" i="4"/>
  <c r="P4" i="10"/>
  <c r="P5" i="10"/>
  <c r="K11" i="10"/>
  <c r="I88" i="5"/>
  <c r="N9" i="10"/>
  <c r="P9" i="10" s="1"/>
  <c r="H23" i="10"/>
  <c r="H29" i="10" s="1"/>
  <c r="M59" i="10" s="1"/>
  <c r="N8" i="10"/>
  <c r="K8" i="10"/>
  <c r="H22" i="10"/>
  <c r="H24" i="10" s="1"/>
  <c r="H24" i="9"/>
  <c r="J10" i="9"/>
  <c r="K10" i="9" s="1"/>
  <c r="J4" i="9"/>
  <c r="K4" i="9" s="1"/>
  <c r="L11" i="6"/>
  <c r="G20" i="4"/>
  <c r="D84" i="5"/>
  <c r="D83" i="5"/>
  <c r="B55" i="5"/>
  <c r="E12" i="5" s="1"/>
  <c r="F48" i="4"/>
  <c r="J86" i="5"/>
  <c r="F67" i="5"/>
  <c r="J6" i="4" l="1"/>
  <c r="N6" i="4" s="1"/>
  <c r="E50" i="4"/>
  <c r="E57" i="4"/>
  <c r="E43" i="4"/>
  <c r="E61" i="4"/>
  <c r="B83" i="5"/>
  <c r="D33" i="2"/>
  <c r="L18" i="6"/>
  <c r="F61" i="2"/>
  <c r="F57" i="4"/>
  <c r="F61" i="4"/>
  <c r="F43" i="4"/>
  <c r="F50" i="4"/>
  <c r="B12" i="5"/>
  <c r="B66" i="4"/>
  <c r="G66" i="4" s="1"/>
  <c r="L10" i="4" s="1"/>
  <c r="N10" i="4" s="1"/>
  <c r="B6" i="4"/>
  <c r="B4" i="4"/>
  <c r="B21" i="4"/>
  <c r="B18" i="4"/>
  <c r="B16" i="4"/>
  <c r="D90" i="5"/>
  <c r="K11" i="9"/>
  <c r="P8" i="10"/>
  <c r="H51" i="10"/>
  <c r="C6" i="4"/>
  <c r="C26" i="4" s="1"/>
  <c r="C66" i="4"/>
  <c r="D12" i="5"/>
  <c r="C21" i="4"/>
  <c r="C64" i="4" s="1"/>
  <c r="C18" i="4"/>
  <c r="C37" i="4" s="1"/>
  <c r="C4" i="4"/>
  <c r="C16" i="4"/>
  <c r="C35" i="4" s="1"/>
  <c r="C9" i="2"/>
  <c r="F83" i="5"/>
  <c r="F66" i="4"/>
  <c r="F18" i="4"/>
  <c r="F37" i="4" s="1"/>
  <c r="F16" i="4"/>
  <c r="F35" i="4" s="1"/>
  <c r="F21" i="4"/>
  <c r="F64" i="4" s="1"/>
  <c r="F6" i="4"/>
  <c r="M89" i="5"/>
  <c r="D61" i="4"/>
  <c r="D50" i="4"/>
  <c r="D43" i="4"/>
  <c r="D57" i="4"/>
  <c r="O56" i="9"/>
  <c r="O70" i="9" s="1"/>
  <c r="F20" i="3" s="1"/>
  <c r="M43" i="10"/>
  <c r="M42" i="10"/>
  <c r="M41" i="10"/>
  <c r="M40" i="10"/>
  <c r="M38" i="10"/>
  <c r="M37" i="10"/>
  <c r="M39" i="10"/>
  <c r="M44" i="10"/>
  <c r="M45" i="10"/>
  <c r="C43" i="4"/>
  <c r="C61" i="4"/>
  <c r="C50" i="4"/>
  <c r="C57" i="4"/>
  <c r="M88" i="5"/>
  <c r="B57" i="4"/>
  <c r="B43" i="4"/>
  <c r="B61" i="4"/>
  <c r="B50" i="4"/>
  <c r="G50" i="4" s="1"/>
  <c r="C41" i="2"/>
  <c r="C37" i="1"/>
  <c r="C46" i="1" s="1"/>
  <c r="H27" i="10"/>
  <c r="H28" i="10"/>
  <c r="E90" i="5"/>
  <c r="O58" i="9"/>
  <c r="O67" i="9" s="1"/>
  <c r="C48" i="1"/>
  <c r="D41" i="2"/>
  <c r="D55" i="4"/>
  <c r="D41" i="4"/>
  <c r="D48" i="4"/>
  <c r="P10" i="9"/>
  <c r="P11" i="10"/>
  <c r="C83" i="5"/>
  <c r="H25" i="9"/>
  <c r="H31" i="9" s="1"/>
  <c r="N56" i="9" s="1"/>
  <c r="M9" i="9"/>
  <c r="N9" i="9" s="1"/>
  <c r="P9" i="9" s="1"/>
  <c r="M10" i="9"/>
  <c r="N10" i="9" s="1"/>
  <c r="M4" i="9"/>
  <c r="J87" i="5"/>
  <c r="D56" i="4" s="1"/>
  <c r="L87" i="5"/>
  <c r="F56" i="4" s="1"/>
  <c r="I87" i="5"/>
  <c r="C56" i="4" s="1"/>
  <c r="H87" i="5"/>
  <c r="C28" i="1"/>
  <c r="G21" i="4" l="1"/>
  <c r="B64" i="4"/>
  <c r="G64" i="4" s="1"/>
  <c r="I12" i="5"/>
  <c r="B90" i="5"/>
  <c r="G83" i="5"/>
  <c r="M87" i="5"/>
  <c r="B56" i="4"/>
  <c r="G56" i="4" s="1"/>
  <c r="K45" i="10"/>
  <c r="K38" i="10"/>
  <c r="K37" i="10"/>
  <c r="K41" i="10"/>
  <c r="K42" i="10"/>
  <c r="K40" i="10"/>
  <c r="K43" i="10"/>
  <c r="K44" i="10"/>
  <c r="K39" i="10"/>
  <c r="K59" i="10"/>
  <c r="C8" i="1"/>
  <c r="J44" i="10"/>
  <c r="L44" i="10" s="1"/>
  <c r="J42" i="10"/>
  <c r="L42" i="10" s="1"/>
  <c r="J40" i="10"/>
  <c r="L40" i="10" s="1"/>
  <c r="J38" i="10"/>
  <c r="J39" i="10"/>
  <c r="L39" i="10" s="1"/>
  <c r="J45" i="10"/>
  <c r="L45" i="10" s="1"/>
  <c r="J37" i="10"/>
  <c r="L37" i="10" s="1"/>
  <c r="J59" i="10"/>
  <c r="J43" i="10"/>
  <c r="J41" i="10"/>
  <c r="L41" i="10" s="1"/>
  <c r="J52" i="10"/>
  <c r="J46" i="10"/>
  <c r="F26" i="4"/>
  <c r="C45" i="4"/>
  <c r="C52" i="4"/>
  <c r="C90" i="5"/>
  <c r="I83" i="5"/>
  <c r="C59" i="4" s="1"/>
  <c r="G43" i="4"/>
  <c r="M46" i="10"/>
  <c r="F52" i="4"/>
  <c r="F45" i="4"/>
  <c r="F84" i="5"/>
  <c r="L83" i="5"/>
  <c r="F59" i="4" s="1"/>
  <c r="C85" i="5"/>
  <c r="H52" i="10"/>
  <c r="I51" i="10"/>
  <c r="I52" i="10" s="1"/>
  <c r="G4" i="4"/>
  <c r="B28" i="4"/>
  <c r="K46" i="10"/>
  <c r="O4" i="9"/>
  <c r="O11" i="9" s="1"/>
  <c r="N4" i="9"/>
  <c r="B37" i="4"/>
  <c r="G37" i="4" s="1"/>
  <c r="G18" i="4"/>
  <c r="G61" i="4"/>
  <c r="N62" i="9"/>
  <c r="N42" i="9"/>
  <c r="N64" i="9"/>
  <c r="N55" i="9"/>
  <c r="N44" i="9"/>
  <c r="N61" i="9"/>
  <c r="N49" i="9"/>
  <c r="B68" i="5" s="1"/>
  <c r="N65" i="9"/>
  <c r="N69" i="9" s="1"/>
  <c r="N43" i="9"/>
  <c r="N54" i="9"/>
  <c r="N39" i="9"/>
  <c r="N40" i="9"/>
  <c r="N41" i="9"/>
  <c r="N45" i="9"/>
  <c r="N63" i="9"/>
  <c r="N50" i="9"/>
  <c r="N53" i="9"/>
  <c r="N46" i="9"/>
  <c r="P18" i="10"/>
  <c r="G57" i="4"/>
  <c r="C28" i="4"/>
  <c r="B35" i="4"/>
  <c r="G35" i="4" s="1"/>
  <c r="L5" i="4" s="1"/>
  <c r="G16" i="4"/>
  <c r="G6" i="4"/>
  <c r="J3" i="4" s="1"/>
  <c r="B26" i="4"/>
  <c r="G84" i="5" l="1"/>
  <c r="L84" i="5" s="1"/>
  <c r="F90" i="5"/>
  <c r="B14" i="4"/>
  <c r="E14" i="4"/>
  <c r="F14" i="4"/>
  <c r="D14" i="4"/>
  <c r="N11" i="9"/>
  <c r="P4" i="9"/>
  <c r="C14" i="4"/>
  <c r="M54" i="10"/>
  <c r="D22" i="6"/>
  <c r="M66" i="10"/>
  <c r="K19" i="3" s="1"/>
  <c r="E28" i="2"/>
  <c r="F4" i="11"/>
  <c r="E94" i="2"/>
  <c r="G26" i="4"/>
  <c r="K52" i="10"/>
  <c r="L52" i="10" s="1"/>
  <c r="O52" i="10" s="1"/>
  <c r="H61" i="10"/>
  <c r="H54" i="10"/>
  <c r="J5" i="4"/>
  <c r="N5" i="4" s="1"/>
  <c r="E16" i="2"/>
  <c r="C16" i="2" s="1"/>
  <c r="C15" i="1" s="1"/>
  <c r="F42" i="4"/>
  <c r="B42" i="4"/>
  <c r="D42" i="4"/>
  <c r="C42" i="4"/>
  <c r="E42" i="4"/>
  <c r="E4" i="2"/>
  <c r="J2" i="4"/>
  <c r="G85" i="5"/>
  <c r="L43" i="10"/>
  <c r="F64" i="5"/>
  <c r="J83" i="5"/>
  <c r="K83" i="5"/>
  <c r="D21" i="6"/>
  <c r="N58" i="9"/>
  <c r="N67" i="9" s="1"/>
  <c r="K54" i="10"/>
  <c r="K61" i="10"/>
  <c r="M52" i="10"/>
  <c r="M61" i="10" s="1"/>
  <c r="N52" i="10"/>
  <c r="I54" i="10"/>
  <c r="I61" i="10"/>
  <c r="J61" i="10"/>
  <c r="L46" i="10"/>
  <c r="J54" i="10"/>
  <c r="L59" i="10"/>
  <c r="O59" i="10" s="1"/>
  <c r="L38" i="10"/>
  <c r="H83" i="5"/>
  <c r="N70" i="9"/>
  <c r="K20" i="3" s="1"/>
  <c r="F39" i="4" l="1"/>
  <c r="F46" i="4"/>
  <c r="F53" i="4"/>
  <c r="E45" i="4"/>
  <c r="E52" i="4"/>
  <c r="E59" i="4"/>
  <c r="K85" i="5"/>
  <c r="L85" i="5"/>
  <c r="H85" i="5"/>
  <c r="J85" i="5"/>
  <c r="F66" i="5"/>
  <c r="D40" i="5" s="1"/>
  <c r="C12" i="4" s="1"/>
  <c r="P11" i="9"/>
  <c r="P21" i="9" s="1"/>
  <c r="H26" i="9"/>
  <c r="M83" i="5"/>
  <c r="B59" i="4"/>
  <c r="G59" i="4" s="1"/>
  <c r="B45" i="4"/>
  <c r="G45" i="4" s="1"/>
  <c r="B52" i="4"/>
  <c r="G4" i="11"/>
  <c r="C94" i="2"/>
  <c r="D39" i="5"/>
  <c r="C39" i="5"/>
  <c r="H40" i="5"/>
  <c r="E7" i="2"/>
  <c r="C4" i="2"/>
  <c r="L3" i="4"/>
  <c r="F44" i="3"/>
  <c r="E33" i="2"/>
  <c r="C28" i="2"/>
  <c r="D59" i="4"/>
  <c r="D52" i="4"/>
  <c r="D45" i="4"/>
  <c r="N2" i="4"/>
  <c r="F65" i="5"/>
  <c r="G39" i="5" s="1"/>
  <c r="G41" i="5" s="1"/>
  <c r="C21" i="8" s="1"/>
  <c r="K84" i="5"/>
  <c r="H84" i="5"/>
  <c r="J84" i="5"/>
  <c r="I84" i="5"/>
  <c r="L54" i="10"/>
  <c r="L61" i="10"/>
  <c r="O46" i="10"/>
  <c r="C22" i="6"/>
  <c r="E22" i="6" s="1"/>
  <c r="Q46" i="10" s="1"/>
  <c r="L66" i="10"/>
  <c r="N66" i="10"/>
  <c r="F19" i="3" s="1"/>
  <c r="N54" i="10"/>
  <c r="N61" i="10"/>
  <c r="D23" i="6"/>
  <c r="F44" i="2" s="1"/>
  <c r="G90" i="5"/>
  <c r="I85" i="5"/>
  <c r="G42" i="4"/>
  <c r="K21" i="3"/>
  <c r="F94" i="3" s="1"/>
  <c r="F21" i="8" l="1"/>
  <c r="E21" i="8" s="1"/>
  <c r="A21" i="8" s="1"/>
  <c r="F21" i="3"/>
  <c r="E142" i="3" s="1"/>
  <c r="F141" i="3" s="1"/>
  <c r="D61" i="2" s="1"/>
  <c r="B46" i="4"/>
  <c r="M84" i="5"/>
  <c r="B39" i="4"/>
  <c r="B53" i="4"/>
  <c r="C29" i="1"/>
  <c r="C35" i="1" s="1"/>
  <c r="C33" i="2"/>
  <c r="C3" i="1"/>
  <c r="F12" i="4"/>
  <c r="F22" i="4" s="1"/>
  <c r="H41" i="5"/>
  <c r="C24" i="8" s="1"/>
  <c r="C10" i="4"/>
  <c r="C22" i="4" s="1"/>
  <c r="D41" i="5"/>
  <c r="F54" i="4"/>
  <c r="F40" i="4"/>
  <c r="F47" i="4"/>
  <c r="D44" i="2"/>
  <c r="O66" i="10"/>
  <c r="J19" i="3"/>
  <c r="M19" i="3" s="1"/>
  <c r="E46" i="4"/>
  <c r="E39" i="4"/>
  <c r="E53" i="4"/>
  <c r="C46" i="4"/>
  <c r="C39" i="4"/>
  <c r="C53" i="4"/>
  <c r="D6" i="2"/>
  <c r="E39" i="5"/>
  <c r="B39" i="5"/>
  <c r="D47" i="4"/>
  <c r="D54" i="4"/>
  <c r="D40" i="4"/>
  <c r="C41" i="5"/>
  <c r="C9" i="8" s="1"/>
  <c r="B11" i="4"/>
  <c r="G11" i="4" s="1"/>
  <c r="C102" i="1"/>
  <c r="E54" i="4"/>
  <c r="E47" i="4"/>
  <c r="E40" i="4"/>
  <c r="E44" i="2"/>
  <c r="C47" i="4"/>
  <c r="C40" i="4"/>
  <c r="C54" i="4"/>
  <c r="O61" i="10"/>
  <c r="O54" i="10"/>
  <c r="D39" i="4"/>
  <c r="D46" i="4"/>
  <c r="D53" i="4"/>
  <c r="N3" i="4"/>
  <c r="F39" i="5"/>
  <c r="G52" i="4"/>
  <c r="H29" i="9"/>
  <c r="H30" i="9"/>
  <c r="B54" i="4"/>
  <c r="G54" i="4" s="1"/>
  <c r="M85" i="5"/>
  <c r="B40" i="4"/>
  <c r="B47" i="4"/>
  <c r="G53" i="4" l="1"/>
  <c r="L61" i="9"/>
  <c r="L54" i="9"/>
  <c r="L49" i="9"/>
  <c r="L45" i="9"/>
  <c r="L41" i="9"/>
  <c r="L63" i="9"/>
  <c r="L43" i="9"/>
  <c r="L64" i="9"/>
  <c r="L55" i="9"/>
  <c r="L44" i="9"/>
  <c r="L62" i="9"/>
  <c r="L53" i="9"/>
  <c r="L42" i="9"/>
  <c r="L50" i="9"/>
  <c r="L46" i="9"/>
  <c r="L40" i="9"/>
  <c r="L39" i="9"/>
  <c r="L56" i="9"/>
  <c r="L65" i="9"/>
  <c r="G12" i="4"/>
  <c r="F9" i="8"/>
  <c r="H9" i="8" s="1"/>
  <c r="E61" i="2"/>
  <c r="C61" i="2" s="1"/>
  <c r="C69" i="1" s="1"/>
  <c r="C44" i="2"/>
  <c r="E10" i="4"/>
  <c r="E22" i="4" s="1"/>
  <c r="F41" i="5"/>
  <c r="C20" i="8" s="1"/>
  <c r="D10" i="4"/>
  <c r="D22" i="4" s="1"/>
  <c r="E41" i="5"/>
  <c r="C18" i="8" s="1"/>
  <c r="C14" i="8"/>
  <c r="C13" i="8"/>
  <c r="C12" i="8"/>
  <c r="C15" i="8"/>
  <c r="K64" i="9"/>
  <c r="M64" i="9" s="1"/>
  <c r="P64" i="9" s="1"/>
  <c r="K44" i="9"/>
  <c r="K40" i="9"/>
  <c r="M40" i="9" s="1"/>
  <c r="P40" i="9" s="1"/>
  <c r="K61" i="9"/>
  <c r="M61" i="9" s="1"/>
  <c r="P61" i="9" s="1"/>
  <c r="K54" i="9"/>
  <c r="M54" i="9" s="1"/>
  <c r="P54" i="9" s="1"/>
  <c r="K41" i="9"/>
  <c r="K45" i="9"/>
  <c r="M45" i="9" s="1"/>
  <c r="P45" i="9" s="1"/>
  <c r="K39" i="9"/>
  <c r="M39" i="9" s="1"/>
  <c r="P39" i="9" s="1"/>
  <c r="K63" i="9"/>
  <c r="M63" i="9" s="1"/>
  <c r="P63" i="9" s="1"/>
  <c r="K55" i="9"/>
  <c r="K43" i="9"/>
  <c r="M43" i="9" s="1"/>
  <c r="P43" i="9" s="1"/>
  <c r="K65" i="9"/>
  <c r="M65" i="9" s="1"/>
  <c r="K49" i="9"/>
  <c r="M49" i="9" s="1"/>
  <c r="K42" i="9"/>
  <c r="K62" i="9"/>
  <c r="M62" i="9" s="1"/>
  <c r="P62" i="9" s="1"/>
  <c r="K46" i="9"/>
  <c r="K50" i="9"/>
  <c r="M50" i="9" s="1"/>
  <c r="P50" i="9" s="1"/>
  <c r="K53" i="9"/>
  <c r="K56" i="9"/>
  <c r="M56" i="9" s="1"/>
  <c r="C6" i="2"/>
  <c r="D7" i="2"/>
  <c r="E24" i="8"/>
  <c r="A24" i="8" s="1"/>
  <c r="F63" i="4" s="1"/>
  <c r="F24" i="8"/>
  <c r="H24" i="8" s="1"/>
  <c r="B10" i="4"/>
  <c r="B41" i="5"/>
  <c r="H21" i="8"/>
  <c r="G21" i="8"/>
  <c r="M69" i="9" l="1"/>
  <c r="P69" i="9" s="1"/>
  <c r="D20" i="3" s="1"/>
  <c r="D21" i="3" s="1"/>
  <c r="F51" i="3" s="1"/>
  <c r="P65" i="9"/>
  <c r="E15" i="8"/>
  <c r="A15" i="8" s="1"/>
  <c r="F15" i="8"/>
  <c r="G10" i="4"/>
  <c r="B22" i="4"/>
  <c r="P56" i="9"/>
  <c r="M70" i="9"/>
  <c r="F12" i="8"/>
  <c r="F18" i="8"/>
  <c r="C5" i="1"/>
  <c r="C6" i="1" s="1"/>
  <c r="C7" i="2"/>
  <c r="M53" i="9"/>
  <c r="P53" i="9" s="1"/>
  <c r="M42" i="9"/>
  <c r="P42" i="9" s="1"/>
  <c r="M55" i="9"/>
  <c r="P55" i="9" s="1"/>
  <c r="M41" i="9"/>
  <c r="P41" i="9" s="1"/>
  <c r="M44" i="9"/>
  <c r="P44" i="9" s="1"/>
  <c r="F13" i="8"/>
  <c r="E13" i="8" s="1"/>
  <c r="A13" i="8" s="1"/>
  <c r="L58" i="9"/>
  <c r="L67" i="9" s="1"/>
  <c r="C7" i="8"/>
  <c r="C6" i="8"/>
  <c r="C5" i="8"/>
  <c r="C8" i="8"/>
  <c r="K58" i="9"/>
  <c r="K67" i="9" s="1"/>
  <c r="M46" i="9"/>
  <c r="F20" i="8"/>
  <c r="C49" i="1"/>
  <c r="P49" i="9"/>
  <c r="D68" i="5"/>
  <c r="C68" i="5"/>
  <c r="E14" i="8"/>
  <c r="A14" i="8" s="1"/>
  <c r="F14" i="8"/>
  <c r="E9" i="8"/>
  <c r="A9" i="8" s="1"/>
  <c r="G12" i="8" l="1"/>
  <c r="H12" i="8"/>
  <c r="G22" i="4"/>
  <c r="H20" i="8"/>
  <c r="G20" i="8"/>
  <c r="E6" i="8"/>
  <c r="A6" i="8" s="1"/>
  <c r="F6" i="8"/>
  <c r="F49" i="4"/>
  <c r="B49" i="4"/>
  <c r="E49" i="4"/>
  <c r="D49" i="4"/>
  <c r="C49" i="4"/>
  <c r="F7" i="8"/>
  <c r="E7" i="8"/>
  <c r="A7" i="8" s="1"/>
  <c r="E12" i="8"/>
  <c r="A12" i="8" s="1"/>
  <c r="A16" i="8" s="1"/>
  <c r="C63" i="4" s="1"/>
  <c r="J4" i="4"/>
  <c r="E11" i="2"/>
  <c r="D13" i="2"/>
  <c r="F58" i="3"/>
  <c r="F5" i="8"/>
  <c r="G18" i="8"/>
  <c r="H18" i="8"/>
  <c r="C60" i="4"/>
  <c r="E60" i="4"/>
  <c r="D60" i="4"/>
  <c r="B60" i="4"/>
  <c r="F60" i="4"/>
  <c r="F68" i="5"/>
  <c r="M58" i="9"/>
  <c r="M67" i="9" s="1"/>
  <c r="P46" i="9"/>
  <c r="P58" i="9" s="1"/>
  <c r="P67" i="9" s="1"/>
  <c r="C21" i="6"/>
  <c r="H13" i="8"/>
  <c r="G13" i="8"/>
  <c r="G14" i="8"/>
  <c r="H14" i="8"/>
  <c r="E20" i="8"/>
  <c r="A20" i="8" s="1"/>
  <c r="A22" i="8" s="1"/>
  <c r="E63" i="4" s="1"/>
  <c r="E8" i="8"/>
  <c r="A8" i="8" s="1"/>
  <c r="F8" i="8"/>
  <c r="E18" i="8"/>
  <c r="A18" i="8" s="1"/>
  <c r="D63" i="4" s="1"/>
  <c r="H20" i="3"/>
  <c r="P70" i="9"/>
  <c r="H15" i="8"/>
  <c r="G15" i="8"/>
  <c r="C13" i="2" l="1"/>
  <c r="C12" i="1" s="1"/>
  <c r="D21" i="2"/>
  <c r="D23" i="2" s="1"/>
  <c r="G5" i="8"/>
  <c r="H5" i="8"/>
  <c r="G7" i="8"/>
  <c r="H7" i="8"/>
  <c r="G49" i="4"/>
  <c r="B65" i="4"/>
  <c r="H8" i="8"/>
  <c r="G8" i="8"/>
  <c r="C23" i="6"/>
  <c r="E21" i="6"/>
  <c r="E23" i="6" s="1"/>
  <c r="E5" i="8"/>
  <c r="A5" i="8" s="1"/>
  <c r="A10" i="8" s="1"/>
  <c r="B63" i="4" s="1"/>
  <c r="G63" i="4" s="1"/>
  <c r="J9" i="4"/>
  <c r="J11" i="4" s="1"/>
  <c r="C65" i="4"/>
  <c r="F65" i="4"/>
  <c r="H21" i="3"/>
  <c r="E129" i="3" s="1"/>
  <c r="F127" i="3" s="1"/>
  <c r="E65" i="4"/>
  <c r="D65" i="4"/>
  <c r="C11" i="2"/>
  <c r="E21" i="2"/>
  <c r="E23" i="2" s="1"/>
  <c r="J20" i="3"/>
  <c r="J21" i="3" s="1"/>
  <c r="E146" i="3" s="1"/>
  <c r="F145" i="3" s="1"/>
  <c r="D62" i="2" s="1"/>
  <c r="G60" i="4"/>
  <c r="E62" i="2" s="1"/>
  <c r="H6" i="8"/>
  <c r="G6" i="8"/>
  <c r="C67" i="4" l="1"/>
  <c r="C69" i="4"/>
  <c r="C70" i="4" s="1"/>
  <c r="M20" i="3"/>
  <c r="M21" i="3" s="1"/>
  <c r="F55" i="2"/>
  <c r="F62" i="2"/>
  <c r="C62" i="2" s="1"/>
  <c r="C70" i="1" s="1"/>
  <c r="E55" i="2"/>
  <c r="E74" i="2" s="1"/>
  <c r="E76" i="2" s="1"/>
  <c r="E78" i="2" s="1"/>
  <c r="L4" i="4"/>
  <c r="C10" i="1"/>
  <c r="C23" i="1" s="1"/>
  <c r="C24" i="1" s="1"/>
  <c r="C21" i="2"/>
  <c r="C23" i="2" s="1"/>
  <c r="D55" i="2"/>
  <c r="F165" i="3"/>
  <c r="F169" i="3" s="1"/>
  <c r="E67" i="4"/>
  <c r="E69" i="4"/>
  <c r="E70" i="4" s="1"/>
  <c r="G65" i="4"/>
  <c r="B67" i="4"/>
  <c r="B69" i="4"/>
  <c r="D67" i="4"/>
  <c r="D69" i="4"/>
  <c r="D70" i="4" s="1"/>
  <c r="F67" i="4"/>
  <c r="F69" i="4"/>
  <c r="F70" i="4" s="1"/>
  <c r="L8" i="4"/>
  <c r="N8" i="4" s="1"/>
  <c r="E64" i="2"/>
  <c r="C64" i="2" s="1"/>
  <c r="C72" i="1" s="1"/>
  <c r="C55" i="2" l="1"/>
  <c r="D74" i="2"/>
  <c r="D76" i="2" s="1"/>
  <c r="D78" i="2" s="1"/>
  <c r="L9" i="4"/>
  <c r="L11" i="4" s="1"/>
  <c r="N4" i="4"/>
  <c r="N9" i="4" s="1"/>
  <c r="N11" i="4" s="1"/>
  <c r="F5" i="11" s="1"/>
  <c r="G67" i="4"/>
  <c r="B70" i="4"/>
  <c r="G70" i="4" s="1"/>
  <c r="G69" i="4"/>
  <c r="F74" i="2"/>
  <c r="F76" i="2" s="1"/>
  <c r="F78" i="2" s="1"/>
  <c r="G5" i="11" l="1"/>
  <c r="G10" i="11" s="1"/>
  <c r="C95" i="2"/>
  <c r="C63" i="1"/>
  <c r="C83" i="1" s="1"/>
  <c r="C84" i="1" s="1"/>
  <c r="C86" i="1" s="1"/>
  <c r="C99" i="1" s="1"/>
  <c r="C74" i="2"/>
  <c r="C76" i="2" s="1"/>
  <c r="C78" i="2" s="1"/>
  <c r="C93" i="2" s="1"/>
  <c r="C103" i="1" l="1"/>
  <c r="C108" i="1" s="1"/>
  <c r="C109" i="1" s="1"/>
  <c r="C100" i="2"/>
  <c r="C101" i="2" s="1"/>
  <c r="C10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8" authorId="0" shapeId="0" xr:uid="{00000000-0006-0000-0100-000001000000}">
      <text>
        <r>
          <rPr>
            <sz val="10"/>
            <color rgb="FF000000"/>
            <rFont val="Calibri"/>
            <scheme val="minor"/>
          </rPr>
          <t>======
ID#AAAAX68B8wU
Sigrid Sollie Kornstad    (2022-04-11 16:59:18)
Betales netto for å spare internasjonale gebyrer ved å føre frem og tilbake.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mTbcODHROfRv+YqlNK5vvDlvea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16" authorId="0" shapeId="0" xr:uid="{00000000-0006-0000-0200-000002000000}">
      <text>
        <r>
          <rPr>
            <sz val="10"/>
            <color rgb="FF000000"/>
            <rFont val="Calibri"/>
            <scheme val="minor"/>
          </rPr>
          <t>======
ID#AAAAX6D2Mcw
Sigrid Sollie Kornstad    (2022-04-07 16:25:50)
Vippsgebyr</t>
        </r>
      </text>
    </comment>
    <comment ref="D20" authorId="0" shapeId="0" xr:uid="{00000000-0006-0000-0200-000001000000}">
      <text>
        <r>
          <rPr>
            <sz val="10"/>
            <color rgb="FF000000"/>
            <rFont val="Calibri"/>
            <scheme val="minor"/>
          </rPr>
          <t>======
ID#AAAAX68B8xQ
Sigrid Sollie Kornstad    (2022-04-11 17:07:20)
Fra lagene (Kost og losji / Lokaler / Reise)</t>
        </r>
      </text>
    </comment>
    <comment ref="A55" authorId="0" shapeId="0" xr:uid="{00000000-0006-0000-0200-000003000000}">
      <text>
        <r>
          <rPr>
            <sz val="10"/>
            <color rgb="FF000000"/>
            <rFont val="Calibri"/>
            <scheme val="minor"/>
          </rPr>
          <t>======
ID#AAAAVUm4yMY
Kontoret CISV Norge    (2022-03-03 16:04:12)
NB: Vi har over 100.000kr i rest fra tidligere prosjekter. Skal vi betale tilbake eller be om lov til å omdisponere?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B1o/0yeelYAi4ZQsj6ktPeEJd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6" authorId="0" shapeId="0" xr:uid="{00000000-0006-0000-0300-000001000000}">
      <text>
        <r>
          <rPr>
            <sz val="10"/>
            <color rgb="FF000000"/>
            <rFont val="Calibri"/>
            <scheme val="minor"/>
          </rPr>
          <t>======
ID#AAAAX68B8xk
Sigrid Sollie Kornstad    (2022-04-11 17:08:42)
Kan potensielt være bare i sentralfane, men dette er et forsøk på å synliggjøre hvor denne kommer fra - at det kommer fra program.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7t2om56DzZFnuk0C4gVny96G+i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7" authorId="0" shapeId="0" xr:uid="{00000000-0006-0000-0400-000002000000}">
      <text>
        <r>
          <rPr>
            <sz val="10"/>
            <color rgb="FF000000"/>
            <rFont val="Calibri"/>
            <scheme val="minor"/>
          </rPr>
          <t>======
ID#AAAAU2RXKho
Kontoret CISV Norge    (2022-01-28 10:14:17)
Fordi de også betaler for lederen sin - betaler i praksis for 1,25 pakker</t>
        </r>
      </text>
    </comment>
    <comment ref="B69" authorId="0" shapeId="0" xr:uid="{00000000-0006-0000-0400-000001000000}">
      <text>
        <r>
          <rPr>
            <sz val="10"/>
            <color rgb="FF000000"/>
            <rFont val="Calibri"/>
            <scheme val="minor"/>
          </rPr>
          <t>======
ID#AAAAVUm4yN4
Kontoret CISV Norge    (2022-03-03 16:32:36)
Vanligvis privat hytte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k313E4VwVyZxC8X3XAyz0zN6n0w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0" authorId="0" shapeId="0" xr:uid="{00000000-0006-0000-0B00-000004000000}">
      <text>
        <r>
          <rPr>
            <sz val="10"/>
            <color rgb="FF000000"/>
            <rFont val="Calibri"/>
            <scheme val="minor"/>
          </rPr>
          <t>======
ID#AAAARzLk5VI
tc={9B598065-912D-4308-8D6B-C1E5F5E86517}    (2021-11-18 09:59:26)
[Kommentartråd]
Din versjon av Excel lar deg lese denne kommentartråden. Eventuelle endringer i den vil imidlertid bli fjernet hvis filen åpnes i en nyere versjon av Excel. Finn ut mer: https://go.microsoft.com/fwlink/?linkid=870924
Kommentar:
    Knut A. M. Berge:
jan-sep</t>
        </r>
      </text>
    </comment>
    <comment ref="G16" authorId="0" shapeId="0" xr:uid="{00000000-0006-0000-0B00-000006000000}">
      <text>
        <r>
          <rPr>
            <sz val="10"/>
            <color rgb="FF000000"/>
            <rFont val="Calibri"/>
            <scheme val="minor"/>
          </rPr>
          <t>======
ID#AAAARzLk5U8
tc={512A7377-150E-42D9-AE67-4C53EC883BAB}    (2021-11-18 09:59:26)
[Kommentartråd]
Din versjon av Excel lar deg lese denne kommentartråden. Eventuelle endringer i den vil imidlertid bli fjernet hvis filen åpnes i en nyere versjon av Excel. Finn ut mer: https://go.microsoft.com/fwlink/?linkid=870924
Kommentar:
    Knut:
Hvordan passer denne med den faktiske kostnaden. Deltakerprosent, pris reise,</t>
        </r>
      </text>
    </comment>
    <comment ref="G18" authorId="0" shapeId="0" xr:uid="{00000000-0006-0000-0B00-000005000000}">
      <text>
        <r>
          <rPr>
            <sz val="10"/>
            <color rgb="FF000000"/>
            <rFont val="Calibri"/>
            <scheme val="minor"/>
          </rPr>
          <t>======
ID#AAAARzLk5VA
tc={EC5D5D09-A55D-4DAB-832F-5854E5F28E15}    (2021-11-18 09:59:26)
[Kommentartråd]
Din versjon av Excel lar deg lese denne kommentartråden. Eventuelle endringer i den vil imidlertid bli fjernet hvis filen åpnes i en nyere versjon av Excel. Finn ut mer: https://go.microsoft.com/fwlink/?linkid=870924
Kommentar:
    Knut:
leder deltar på lts, sudt og neo og kunne kanskje vært høyere enn barneleir</t>
        </r>
      </text>
    </comment>
    <comment ref="A25" authorId="0" shapeId="0" xr:uid="{00000000-0006-0000-0B00-000002000000}">
      <text>
        <r>
          <rPr>
            <sz val="10"/>
            <color rgb="FF000000"/>
            <rFont val="Calibri"/>
            <scheme val="minor"/>
          </rPr>
          <t>======
ID#AAAARzLk5Vg
tc={DBF85E61-F11C-4BB2-9D4C-0C432B1660DD}    (2021-11-18 09:59:26)
[Kommentartråd]
Din versjon av Excel lar deg lese denne kommentartråden. Eventuelle endringer i den vil imidlertid bli fjernet hvis filen åpnes i en nyere versjon av Excel. Finn ut mer: https://go.microsoft.com/fwlink/?linkid=870924
Kommentar:
    Knut A. M. Berge:
NJC er en uke</t>
        </r>
      </text>
    </comment>
    <comment ref="A65" authorId="0" shapeId="0" xr:uid="{00000000-0006-0000-0B00-000007000000}">
      <text>
        <r>
          <rPr>
            <sz val="10"/>
            <color rgb="FF000000"/>
            <rFont val="Calibri"/>
            <scheme val="minor"/>
          </rPr>
          <t>======
ID#AAAARzLk5U0
tc={6B4FF2CD-4256-41E9-91B4-24672C1D9FEF}    (2021-11-18 09:59:26)
[Kommentartråd]
Din versjon av Excel lar deg lese denne kommentartråden. Eventuelle endringer i den vil imidlertid bli fjernet hvis filen åpnes i en nyere versjon av Excel. Finn ut mer: https://go.microsoft.com/fwlink/?linkid=870924
Kommentar:
    Knut:
Går inn i kostnadsbildet programmer, vil motregnes mot inntektene for programmet</t>
        </r>
      </text>
    </comment>
    <comment ref="I78" authorId="0" shapeId="0" xr:uid="{00000000-0006-0000-0B00-000003000000}">
      <text>
        <r>
          <rPr>
            <sz val="10"/>
            <color rgb="FF000000"/>
            <rFont val="Calibri"/>
            <scheme val="minor"/>
          </rPr>
          <t>======
ID#AAAARzLk5VU
tc={BC7987BC-5603-410C-83C1-7AAE0F9CF9BC}    (2021-11-18 09:59:26)
[Kommentartråd]
Din versjon av Excel lar deg lese denne kommentartråden. Eventuelle endringer i den vil imidlertid bli fjernet hvis filen åpnes i en nyere versjon av Excel. Finn ut mer: https://go.microsoft.com/fwlink/?linkid=870924
Kommentar:
    26 SU-ledere
42 Village-ledere
9 YM-ledere
7 IC-ledere</t>
        </r>
      </text>
    </comment>
    <comment ref="I96" authorId="0" shapeId="0" xr:uid="{00000000-0006-0000-0B00-000001000000}">
      <text>
        <r>
          <rPr>
            <sz val="10"/>
            <color rgb="FF000000"/>
            <rFont val="Calibri"/>
            <scheme val="minor"/>
          </rPr>
          <t>======
ID#AAAARzLk5V0
tc={8FA6DF3B-A7DB-42DE-B392-AACC66E831A6}    (2021-11-18 09:59:26)
[Kommentartråd]
Din versjon av Excel lar deg lese denne kommentartråden. Eventuelle endringer i den vil imidlertid bli fjernet hvis filen åpnes i en nyere versjon av Excel. Finn ut mer: https://go.microsoft.com/fwlink/?linkid=870924
Kommentar:
    26 delegasjoner
4+leder * 26
------
ID#AAAAX68B8yc
Sigrid Sollie Kornstad    (2022-04-11 17:12:26)
_Merket som løst_
------
ID#AAAAX68B8yg
Sigrid Sollie Kornstad    (2022-04-11 17:14:08)
_Åpnet på nytt_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+OPCwehpfQfv3vNdASQS2QBDphQ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" authorId="0" shapeId="0" xr:uid="{00000000-0006-0000-0D00-000003000000}">
      <text>
        <r>
          <rPr>
            <sz val="10"/>
            <color rgb="FF000000"/>
            <rFont val="Calibri"/>
            <scheme val="minor"/>
          </rPr>
          <t>======
ID#AAAARzLk5VY
tc={E10528E5-7FB1-4611-809D-3694780330AE}    (2021-11-18 09:59:26)
[Kommentartråd]
Din versjon av Excel lar deg lese denne kommentartråden. Eventuelle endringer i den vil imidlertid bli fjernet hvis filen åpnes i en nyere versjon av Excel. Finn ut mer: https://go.microsoft.com/fwlink/?linkid=870924
Kommentar:
    Knut A. M. Berge:
Troms og Finnmark ble kompensensert og ikke fakturert grunnet reisekostnader</t>
        </r>
      </text>
    </comment>
    <comment ref="H11" authorId="0" shapeId="0" xr:uid="{00000000-0006-0000-0D00-000004000000}">
      <text>
        <r>
          <rPr>
            <sz val="10"/>
            <color rgb="FF000000"/>
            <rFont val="Calibri"/>
            <scheme val="minor"/>
          </rPr>
          <t>======
ID#AAAARzLk5VM
tc={1568274E-8BBA-48C2-B1E0-531839D44A2E}    (2021-11-18 09:59:26)
[Kommentartråd]
Din versjon av Excel lar deg lese denne kommentartråden. Eventuelle endringer i den vil imidlertid bli fjernet hvis filen åpnes i en nyere versjon av Excel. Finn ut mer: https://go.microsoft.com/fwlink/?linkid=870924
Kommentar:
    Knut:
Settes etter samtale med daglig leder. Kan undersøke om reglene for dette sammen med Ingrid</t>
        </r>
      </text>
    </comment>
    <comment ref="F12" authorId="0" shapeId="0" xr:uid="{00000000-0006-0000-0D00-000002000000}">
      <text>
        <r>
          <rPr>
            <sz val="10"/>
            <color rgb="FF000000"/>
            <rFont val="Calibri"/>
            <scheme val="minor"/>
          </rPr>
          <t>======
ID#AAAARzLk5Vk
tc={CB8DE829-AEE5-433E-9055-99E1E7D69D0B}    (2021-11-18 09:59:26)
[Kommentartråd]
Din versjon av Excel lar deg lese denne kommentartråden. Eventuelle endringer i den vil imidlertid bli fjernet hvis filen åpnes i en nyere versjon av Excel. Finn ut mer: https://go.microsoft.com/fwlink/?linkid=870924
Kommentar:
    Knut A. M. Berge:
Var det vi søkte om</t>
        </r>
      </text>
    </comment>
    <comment ref="F13" authorId="0" shapeId="0" xr:uid="{00000000-0006-0000-0D00-000001000000}">
      <text>
        <r>
          <rPr>
            <sz val="10"/>
            <color rgb="FF000000"/>
            <rFont val="Calibri"/>
            <scheme val="minor"/>
          </rPr>
          <t>======
ID#AAAARzLk5Vw
tc={426D87FD-8EBB-4245-8A9F-295D24192448}    (2021-11-18 09:59:26)
[Kommentartråd]
Din versjon av Excel lar deg lese denne kommentartråden. Eventuelle endringer i den vil imidlertid bli fjernet hvis filen åpnes i en nyere versjon av Excel. Finn ut mer: https://go.microsoft.com/fwlink/?linkid=870924
Kommentar:
    Knut A. M. Berge:
Var det vi fikk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Fixy4/AxTBqJyQWIMa5zV0dA72Q=="/>
    </ext>
  </extLst>
</comments>
</file>

<file path=xl/sharedStrings.xml><?xml version="1.0" encoding="utf-8"?>
<sst xmlns="http://schemas.openxmlformats.org/spreadsheetml/2006/main" count="1203" uniqueCount="818">
  <si>
    <t>BUDSJETTUTVIKLING</t>
  </si>
  <si>
    <t>Revidert
budsjett 2022</t>
  </si>
  <si>
    <t>Budsjett 2022</t>
  </si>
  <si>
    <t>Revidert budsjett 2021</t>
  </si>
  <si>
    <t>Budsjett 2021</t>
  </si>
  <si>
    <t>Regnskap 2021</t>
  </si>
  <si>
    <t>Regnskap 2020</t>
  </si>
  <si>
    <t>Regnskap 2019</t>
  </si>
  <si>
    <t>Regnskap 2018</t>
  </si>
  <si>
    <t>Inntekter</t>
  </si>
  <si>
    <t>Varesalg</t>
  </si>
  <si>
    <t>Inntekter fra lag med direkte kostnader</t>
  </si>
  <si>
    <t>Nasjonal avgift</t>
  </si>
  <si>
    <t>Salgsinntekter</t>
  </si>
  <si>
    <t>Andre driftsrelaterte inntekter</t>
  </si>
  <si>
    <t>Momskompensasjon Inntekt</t>
  </si>
  <si>
    <t>Deltakeravgift, program</t>
  </si>
  <si>
    <t>Viderefakturering internasjonale kostnader</t>
  </si>
  <si>
    <t>Deltakeravgifter, nasjonale seminarer</t>
  </si>
  <si>
    <t>Fordelingsutvalget nasjonal grunnstøtte</t>
  </si>
  <si>
    <t>Fordelingsutvalget internasjonal grunnstøtte</t>
  </si>
  <si>
    <t>Internasjonale avgifter, forsikring og EMEA</t>
  </si>
  <si>
    <t>Frifondmidler</t>
  </si>
  <si>
    <t>Verden i - UDI-støtte</t>
  </si>
  <si>
    <t>Stimuleringsmidler Covid-19</t>
  </si>
  <si>
    <t>Medlemskontingent</t>
  </si>
  <si>
    <t>Diverse inntekter</t>
  </si>
  <si>
    <t>Gaver som gir fradrag</t>
  </si>
  <si>
    <t>Gaver</t>
  </si>
  <si>
    <t>Total annen driftsinntekt</t>
  </si>
  <si>
    <t>SUM Inntekt</t>
  </si>
  <si>
    <t>Kostnader</t>
  </si>
  <si>
    <t>Varekjøp</t>
  </si>
  <si>
    <t>Leirstøtte til fylkeslagene</t>
  </si>
  <si>
    <t>Netto IO: Avgifter, forsikring og EMEA</t>
  </si>
  <si>
    <t>Frifondmidler, utbetaling til lokallag</t>
  </si>
  <si>
    <t>Momskompensasjon, utbetaling til lokallag</t>
  </si>
  <si>
    <t>Medlemskontingent, utbetaling til lokallag</t>
  </si>
  <si>
    <t>Verden i - overføring til lokallag</t>
  </si>
  <si>
    <t>Stimuleringsmidler, overføring til lokallag</t>
  </si>
  <si>
    <t>Varekostnad</t>
  </si>
  <si>
    <t>Lønn</t>
  </si>
  <si>
    <t>Feriepenger</t>
  </si>
  <si>
    <t>Arbeidsgiveravgift</t>
  </si>
  <si>
    <t>Arbeidsgiveravgift av opptjente feriepenger</t>
  </si>
  <si>
    <t>Innberetningspliktige pensjonskostnader</t>
  </si>
  <si>
    <t>Refusjon av sykepenger</t>
  </si>
  <si>
    <t>Refusjon av arbeidsgiveravgift</t>
  </si>
  <si>
    <t>Annen ikke arbeidsgiveravgiftspliktig forsikring</t>
  </si>
  <si>
    <t>Personalforsikring</t>
  </si>
  <si>
    <t>Lønnskostnad</t>
  </si>
  <si>
    <t xml:space="preserve"> </t>
  </si>
  <si>
    <t>Kontorleie</t>
  </si>
  <si>
    <t>Leie lokaler</t>
  </si>
  <si>
    <t>Leie kontormaskiner</t>
  </si>
  <si>
    <t>Inventar</t>
  </si>
  <si>
    <t>Driftsmateriale (div. arrangementer)</t>
  </si>
  <si>
    <t>Datautstyr (hardware)</t>
  </si>
  <si>
    <t>Rekvisita</t>
  </si>
  <si>
    <t>Revisjonshonorar</t>
  </si>
  <si>
    <t>Regnskapshonorar</t>
  </si>
  <si>
    <t>Honorar for økonomisk &amp; juridisk bistand</t>
  </si>
  <si>
    <t>Annen fremmed tjeneste</t>
  </si>
  <si>
    <t>Kontorrekvisita</t>
  </si>
  <si>
    <t>Data/EDB-kostnad</t>
  </si>
  <si>
    <t>Trykksaker</t>
  </si>
  <si>
    <t>Kursavgifter</t>
  </si>
  <si>
    <t>Mat/servering</t>
  </si>
  <si>
    <t>Telefon</t>
  </si>
  <si>
    <t>Porto</t>
  </si>
  <si>
    <t>Forsikringer</t>
  </si>
  <si>
    <t>Øreavrunding</t>
  </si>
  <si>
    <t>Reisekostnader, ikke oppgavepliktig</t>
  </si>
  <si>
    <t>Overnatting/hotell</t>
  </si>
  <si>
    <t>Reklamekostnad</t>
  </si>
  <si>
    <t xml:space="preserve">Subsidiering/kostutjevning
</t>
  </si>
  <si>
    <t>Medlemskontingenter til andre organisasjoner</t>
  </si>
  <si>
    <t>Prosjektkoordinering</t>
  </si>
  <si>
    <t>Tilbakebetaling ubrukte prosjektmidler</t>
  </si>
  <si>
    <t>Diverse utgifter</t>
  </si>
  <si>
    <t>Utbetaling stipend</t>
  </si>
  <si>
    <t>Forbruk varer</t>
  </si>
  <si>
    <t>Bank og kortgebyrer</t>
  </si>
  <si>
    <t>Tapsføring eiendeler</t>
  </si>
  <si>
    <t>Tap på fordringer</t>
  </si>
  <si>
    <t>Gaver som gir fradrag (utbetaling til lagene)</t>
  </si>
  <si>
    <t>Annen driftskostnad</t>
  </si>
  <si>
    <t>SUM Kostnader</t>
  </si>
  <si>
    <t>Driftsresultat</t>
  </si>
  <si>
    <t>Renteinntekter, skattefrie</t>
  </si>
  <si>
    <t>Annen renteinntekt</t>
  </si>
  <si>
    <t>Verdiøkning av finansielle instrumenter</t>
  </si>
  <si>
    <t>Finansinntekter</t>
  </si>
  <si>
    <t>Verdiendring DNB-Invest Likviditetsfond</t>
  </si>
  <si>
    <t>Nedskrivning av finansielle omløpsmidler</t>
  </si>
  <si>
    <t>Rentekostnader, ikke fradragsberettigede</t>
  </si>
  <si>
    <t>Andre finanskostnader</t>
  </si>
  <si>
    <t>Finanskostnader</t>
  </si>
  <si>
    <t>Netto finansresultat</t>
  </si>
  <si>
    <t>Årsresultat</t>
  </si>
  <si>
    <t>Disponeringer</t>
  </si>
  <si>
    <t>SUM avsetninger</t>
  </si>
  <si>
    <t>Avsatt fri egenkapital</t>
  </si>
  <si>
    <t>BUDSJETT 2022</t>
  </si>
  <si>
    <t xml:space="preserve">Konto </t>
  </si>
  <si>
    <t>Kontonavn</t>
  </si>
  <si>
    <t>Totalt</t>
  </si>
  <si>
    <t>Sentralt</t>
  </si>
  <si>
    <t>Program</t>
  </si>
  <si>
    <t>Komitéer</t>
  </si>
  <si>
    <t>Prosjekter</t>
  </si>
  <si>
    <t>Salgsinntekter sum</t>
  </si>
  <si>
    <t>DRIFTSINNTEKTER</t>
  </si>
  <si>
    <t>Total varekostnad</t>
  </si>
  <si>
    <t>DRIFTSKOSTNADER</t>
  </si>
  <si>
    <t>Finansinntekt og -kost</t>
  </si>
  <si>
    <t>FINANSRESULTAT</t>
  </si>
  <si>
    <t>Resultat før disponeringer</t>
  </si>
  <si>
    <t>Sum avsetninger</t>
  </si>
  <si>
    <t>Fri egenkapital (etter avsetninger 2021)</t>
  </si>
  <si>
    <t>Fri egenkapital (etter avsetninger 2022)</t>
  </si>
  <si>
    <t>Grønn = konstant, fyll inn her</t>
  </si>
  <si>
    <t>Blå = formel, ikke rør</t>
  </si>
  <si>
    <t>PUNDKURS</t>
  </si>
  <si>
    <t>Pundkursen (mot fylkeslag)</t>
  </si>
  <si>
    <t>Pundkursen (mot CISV International)</t>
  </si>
  <si>
    <t>MØTER OG SEMINARER</t>
  </si>
  <si>
    <t>Antall 
deltakere</t>
  </si>
  <si>
    <t>Deltakeravgift</t>
  </si>
  <si>
    <t>Reise</t>
  </si>
  <si>
    <t>Mat</t>
  </si>
  <si>
    <t>Losji</t>
  </si>
  <si>
    <t>Lokale</t>
  </si>
  <si>
    <t>Diverse 
driftskostn.</t>
  </si>
  <si>
    <t>SUM kostnader</t>
  </si>
  <si>
    <t>Per pers</t>
  </si>
  <si>
    <t>Sum</t>
  </si>
  <si>
    <t>Nasjonale møter/arrangementer</t>
  </si>
  <si>
    <t>Pakkedugnad</t>
  </si>
  <si>
    <t>Sentralstyremøte, mars</t>
  </si>
  <si>
    <t>Sentralstyremøte, juni</t>
  </si>
  <si>
    <t>Økonomi-gruppa</t>
  </si>
  <si>
    <t>Januarmøte</t>
  </si>
  <si>
    <t>Overlappingsseminar</t>
  </si>
  <si>
    <t>Juniorhelg (4.-6. mars)</t>
  </si>
  <si>
    <t>Kost, losji og lokalre per pers</t>
  </si>
  <si>
    <t>Sponser per deltaker:</t>
  </si>
  <si>
    <t>JIL/NEO</t>
  </si>
  <si>
    <t>The Weekend/NEO</t>
  </si>
  <si>
    <t>Landsmøtet CISV Norge, Gardermoen</t>
  </si>
  <si>
    <t xml:space="preserve">Høstmøtet </t>
  </si>
  <si>
    <t>SUM</t>
  </si>
  <si>
    <t>Internasjonale møter</t>
  </si>
  <si>
    <t>BEAM</t>
  </si>
  <si>
    <r>
      <rPr>
        <sz val="10"/>
        <color rgb="FF000000"/>
        <rFont val="Calibri"/>
      </rPr>
      <t>Global Conference (</t>
    </r>
    <r>
      <rPr>
        <i/>
        <sz val="10"/>
        <color rgb="FF000000"/>
        <rFont val="Calibri"/>
      </rPr>
      <t>ikke i 2022)</t>
    </r>
  </si>
  <si>
    <t>RTF -potten</t>
  </si>
  <si>
    <t>EJBM</t>
  </si>
  <si>
    <t>IJBC</t>
  </si>
  <si>
    <t>Utviklingsoppgaver</t>
  </si>
  <si>
    <t>Kompetanseheving ansatt</t>
  </si>
  <si>
    <t>Kompetanseheving frivillige</t>
  </si>
  <si>
    <t>Mosaikkpotten</t>
  </si>
  <si>
    <t>Administrasjon prosjekter</t>
  </si>
  <si>
    <t>INNTEKTER</t>
  </si>
  <si>
    <t>POST</t>
  </si>
  <si>
    <t>Antall</t>
  </si>
  <si>
    <t>Enhetskost</t>
  </si>
  <si>
    <t>Enhet</t>
  </si>
  <si>
    <t>3050 Varesalg (utenom effektpakker)</t>
  </si>
  <si>
    <t>3110 Inntekter med direkte kostnader</t>
  </si>
  <si>
    <t>Medlemsregister</t>
  </si>
  <si>
    <t>Fra lag</t>
  </si>
  <si>
    <t>3115 Nasjonal avgift</t>
  </si>
  <si>
    <t>Fra Program</t>
  </si>
  <si>
    <t>3900 Andre driftsrelaterte inntekter</t>
  </si>
  <si>
    <t>SNS</t>
  </si>
  <si>
    <t>3901 Momskompensasjon inn</t>
  </si>
  <si>
    <t>3903 Viderefakturering internasjonale kostnader</t>
  </si>
  <si>
    <t>Global Conference fees lokallag</t>
  </si>
  <si>
    <t>£/lokallag</t>
  </si>
  <si>
    <t>Chapter fee - lokallag</t>
  </si>
  <si>
    <t>3904 Deltakeravgifter, nasjonale seminarer</t>
  </si>
  <si>
    <t>3910 Fordelingsutvalget nasjonal grunnstøtte</t>
  </si>
  <si>
    <t>3915 Fordelingsutvalget internasjonal grunnstøtte</t>
  </si>
  <si>
    <t>Internasjonal grunnstøtte</t>
  </si>
  <si>
    <t>3927 Frifondmidler</t>
  </si>
  <si>
    <t>Går til internasjonale program</t>
  </si>
  <si>
    <t>3930 Verden i - UDI-støtte</t>
  </si>
  <si>
    <t>Går til nasjonalt arbeid / sentralfanen</t>
  </si>
  <si>
    <t>3950 Medlemskontingent</t>
  </si>
  <si>
    <t>kr/medlem</t>
  </si>
  <si>
    <t>Antall poeng fra internasjonal deltakelse</t>
  </si>
  <si>
    <t>3970 Gaver som gir fradrag</t>
  </si>
  <si>
    <t>Gjennomsnitt støtte per poeng</t>
  </si>
  <si>
    <t>Totale inntekter</t>
  </si>
  <si>
    <t>Støtte pr int. Deltaker</t>
  </si>
  <si>
    <t>KOSTNADER</t>
  </si>
  <si>
    <t>VAREKOSTNADER</t>
  </si>
  <si>
    <t>4010 Varekjøp (nettbutikk, ikke effektpakke)</t>
  </si>
  <si>
    <t>4922 Netto Internasjonal avgift, forsikring og EMEA</t>
  </si>
  <si>
    <t>Global Conference fee NA</t>
  </si>
  <si>
    <t>£</t>
  </si>
  <si>
    <t>Global Conference fee Chapters</t>
  </si>
  <si>
    <t>Chapter fee</t>
  </si>
  <si>
    <t>NA membership fee</t>
  </si>
  <si>
    <t>4927 Frifondmidler, utbetaling til lag (95%)</t>
  </si>
  <si>
    <t>4928 Momskompensasjon, utbetaling til lag</t>
  </si>
  <si>
    <t>4929 Utbetaling medlemskontingent</t>
  </si>
  <si>
    <t>SUM VAREKOSTNADER</t>
  </si>
  <si>
    <t>LØNNSKOSTNAD</t>
  </si>
  <si>
    <t>5000 Lønn til ansatte</t>
  </si>
  <si>
    <t>Daglig leder nr. 1</t>
  </si>
  <si>
    <t>Årslønn</t>
  </si>
  <si>
    <t>Daglig leder nr. 2</t>
  </si>
  <si>
    <t>Organisasjonsrådgiver nr. 1</t>
  </si>
  <si>
    <t>Organisasjonsrådgiver nr. 2</t>
  </si>
  <si>
    <t>Ekstra hjelp på kontoret i periode uten ansatte</t>
  </si>
  <si>
    <t>5020 Feriepenger (12%)</t>
  </si>
  <si>
    <t>Av 5000</t>
  </si>
  <si>
    <t>5400 Arbeidsgiveravgift (14,1%)</t>
  </si>
  <si>
    <t>5401 Arbeidsgiveravg. av feriep. (14,1%)</t>
  </si>
  <si>
    <t>Av 5020</t>
  </si>
  <si>
    <t>5420 Innberetningspliktig pensjonskostnad</t>
  </si>
  <si>
    <t>5920 Personalforsikring</t>
  </si>
  <si>
    <t>SUM LØNNSKOSTNAD</t>
  </si>
  <si>
    <t>ANNEN DRIFTSKOSTNAD</t>
  </si>
  <si>
    <t>6300 Leie og drift av kontor</t>
  </si>
  <si>
    <t>Husleie</t>
  </si>
  <si>
    <t>kr/kvartal</t>
  </si>
  <si>
    <t>Felleskostnader Frivillighetshuset</t>
  </si>
  <si>
    <t>kr/halvår</t>
  </si>
  <si>
    <t>Renhold kontor</t>
  </si>
  <si>
    <t>Internett</t>
  </si>
  <si>
    <t>kr/år</t>
  </si>
  <si>
    <t>6301 Leie lokaler</t>
  </si>
  <si>
    <t>6430 Leie kontormaskiner</t>
  </si>
  <si>
    <t>Digiflow</t>
  </si>
  <si>
    <t>kr/mnd</t>
  </si>
  <si>
    <t>Sikkerprint</t>
  </si>
  <si>
    <t>Siemens</t>
  </si>
  <si>
    <t>6540 Inventar (kontoret - nøkler etc.)</t>
  </si>
  <si>
    <t xml:space="preserve">Kontoret - nøkler, planter etc. </t>
  </si>
  <si>
    <t>Datautstyr</t>
  </si>
  <si>
    <t>6550 Driftsmateriale (div. arrangementer)</t>
  </si>
  <si>
    <t>6560 Rekvisita</t>
  </si>
  <si>
    <t>Kopipapir</t>
  </si>
  <si>
    <t>Div. kontorrekvisita</t>
  </si>
  <si>
    <t>6701 Honorar revisjon</t>
  </si>
  <si>
    <t>6705 Honorar regnskap</t>
  </si>
  <si>
    <t>6720 Honorar for økonomisk &amp; juridisk bistand</t>
  </si>
  <si>
    <t>6801 Data/EDB-kostnad</t>
  </si>
  <si>
    <t>Zubarus</t>
  </si>
  <si>
    <t>Adobe</t>
  </si>
  <si>
    <t>Flywheel</t>
  </si>
  <si>
    <t>Tripletex AS</t>
  </si>
  <si>
    <t>kr/2 mnd.</t>
  </si>
  <si>
    <t>Shopify</t>
  </si>
  <si>
    <t>Webhuset</t>
  </si>
  <si>
    <t>Wufoo</t>
  </si>
  <si>
    <t>Strex</t>
  </si>
  <si>
    <t>Zoom</t>
  </si>
  <si>
    <t>Conta</t>
  </si>
  <si>
    <t>Gmail</t>
  </si>
  <si>
    <t>GoPlenum</t>
  </si>
  <si>
    <t>Drift/utvikling nettside</t>
  </si>
  <si>
    <t>6820 Trykksaker</t>
  </si>
  <si>
    <t>6860 Kursavgifter</t>
  </si>
  <si>
    <t>Internasjonale seminarer</t>
  </si>
  <si>
    <t>Andre kurs</t>
  </si>
  <si>
    <t>6868 Mat/servering</t>
  </si>
  <si>
    <t>Kontoret (møtemat, overtid, snacks…)</t>
  </si>
  <si>
    <t>Nasjonale seminarer</t>
  </si>
  <si>
    <t>Mat ved internasjonale seminarer</t>
  </si>
  <si>
    <t>Mat ved annen kursing</t>
  </si>
  <si>
    <t>6900 Telefon</t>
  </si>
  <si>
    <t>RM-telefon</t>
  </si>
  <si>
    <t>Kontortelefon</t>
  </si>
  <si>
    <t>6940 Porto</t>
  </si>
  <si>
    <t>Fellesutsendelser</t>
  </si>
  <si>
    <t>Nettbutikk</t>
  </si>
  <si>
    <t>Div.</t>
  </si>
  <si>
    <t>6960 Gaver</t>
  </si>
  <si>
    <t>7040 Forsikringer</t>
  </si>
  <si>
    <t>7140 Reisekostnader</t>
  </si>
  <si>
    <t>Nasjonale seminarer og møter</t>
  </si>
  <si>
    <t>Andre kurs etc.</t>
  </si>
  <si>
    <t>7145 Overnatting/hotell</t>
  </si>
  <si>
    <t>7320 Reklamekostnad</t>
  </si>
  <si>
    <t>Kampanje rekruttering 2022</t>
  </si>
  <si>
    <t>Kampanje rekruttering 2023</t>
  </si>
  <si>
    <t>7601 Medlemskontingenter</t>
  </si>
  <si>
    <t>FN-sambandet</t>
  </si>
  <si>
    <t>Frivillighet Norge</t>
  </si>
  <si>
    <t>Norges Fredsråd</t>
  </si>
  <si>
    <t>Studieforbundet for næring og samfunn</t>
  </si>
  <si>
    <t>LNU</t>
  </si>
  <si>
    <t>7630 Utbetaling av stipend</t>
  </si>
  <si>
    <t>7770 Bank og kortgebyrer</t>
  </si>
  <si>
    <t>Månedspris DnB</t>
  </si>
  <si>
    <t>Kortgebyr</t>
  </si>
  <si>
    <t>Andre gebyrer</t>
  </si>
  <si>
    <t>?</t>
  </si>
  <si>
    <t>7970 Gaver som gir fradrag (utbetaling til lagene)</t>
  </si>
  <si>
    <t>Resultat, Sentralt:</t>
  </si>
  <si>
    <t>Barneleir</t>
  </si>
  <si>
    <t>Step-Up</t>
  </si>
  <si>
    <t>Interchange</t>
  </si>
  <si>
    <t>Youth Meeting</t>
  </si>
  <si>
    <t>Seminarleir</t>
  </si>
  <si>
    <t>OPPSUMMERING: RESULTAT PR. POST</t>
  </si>
  <si>
    <t>Inntekt</t>
  </si>
  <si>
    <t>Kostnad</t>
  </si>
  <si>
    <t>Resultat</t>
  </si>
  <si>
    <t>Effektpakke</t>
  </si>
  <si>
    <t>Via nasjonal grunnpris</t>
  </si>
  <si>
    <t>3050 Varesalg</t>
  </si>
  <si>
    <t>Til Sentralt-fane</t>
  </si>
  <si>
    <t>Nasjonale treninger</t>
  </si>
  <si>
    <t>Deltakeravgifter CISV International</t>
  </si>
  <si>
    <t>Til CISV Int.</t>
  </si>
  <si>
    <t>Leirstøtte</t>
  </si>
  <si>
    <t>Fra CISV International</t>
  </si>
  <si>
    <t>Til lag</t>
  </si>
  <si>
    <t>Støtteordninger</t>
  </si>
  <si>
    <t>Leirstøtte SNS</t>
  </si>
  <si>
    <t>Føres på Sentralt</t>
  </si>
  <si>
    <t>Subsidiering av nasjonal grunnpris</t>
  </si>
  <si>
    <t>3904 Deltakeravgift, nasjonale seminarer</t>
  </si>
  <si>
    <t>Ledertrening</t>
  </si>
  <si>
    <t>Extraordinary Fee</t>
  </si>
  <si>
    <t>Ledertrening JC</t>
  </si>
  <si>
    <t>Delegattrening</t>
  </si>
  <si>
    <t>3922 Internasjonal avgift, forsikring og EMEA</t>
  </si>
  <si>
    <t>Internasjonal avgift fra norske deltagere</t>
  </si>
  <si>
    <t>Internasjonal forsikring</t>
  </si>
  <si>
    <t>EMEA fond</t>
  </si>
  <si>
    <t>Deltageravgift fra IO for leire i Norge</t>
  </si>
  <si>
    <t>Føres inn i netto kostnad i Budsjett</t>
  </si>
  <si>
    <t>Avbestillingsforsikring</t>
  </si>
  <si>
    <t>SUM INNTEKTER totalt</t>
  </si>
  <si>
    <t>4010 Varekjøp</t>
  </si>
  <si>
    <t>4610 Leirstøtte</t>
  </si>
  <si>
    <t>Reisestøtte - Finnmark</t>
  </si>
  <si>
    <t>Reisestøtte - Troms</t>
  </si>
  <si>
    <t>Reisestøtte - Sogn&amp;Fjordane</t>
  </si>
  <si>
    <t>6301 Nasjonale treninger - lokaler</t>
  </si>
  <si>
    <t>LTS lokale</t>
  </si>
  <si>
    <t>SUDT lokale</t>
  </si>
  <si>
    <t>STAS lokale</t>
  </si>
  <si>
    <t>Leirstartseminar - lokale</t>
  </si>
  <si>
    <t>Leirlederseminar - lokale</t>
  </si>
  <si>
    <t>6868 Nasjonale treninger - mat/servering</t>
  </si>
  <si>
    <t>NEO mat</t>
  </si>
  <si>
    <t>LTS mat</t>
  </si>
  <si>
    <t>SUDT mat</t>
  </si>
  <si>
    <t>STAS mat</t>
  </si>
  <si>
    <t>Leirstartseminar mat</t>
  </si>
  <si>
    <t>Leirlederseminar mat</t>
  </si>
  <si>
    <t>7140 Nasjonale treninger - Reisekostnader</t>
  </si>
  <si>
    <t>NEO reise</t>
  </si>
  <si>
    <t>LTS reise</t>
  </si>
  <si>
    <t>SUDT reise</t>
  </si>
  <si>
    <t>STAS reise</t>
  </si>
  <si>
    <t>Leirstartsseminar reise</t>
  </si>
  <si>
    <t>Leirlederseminar reise</t>
  </si>
  <si>
    <t>7145 Nasjonale treninger - Overnatting/hotell</t>
  </si>
  <si>
    <t>NEO overnatting</t>
  </si>
  <si>
    <t>Leistartsseminar overnatting</t>
  </si>
  <si>
    <t>Leirlederseminar overnatting</t>
  </si>
  <si>
    <t>7400 Subsiduering/kostutjevning</t>
  </si>
  <si>
    <t>Subsidiering</t>
  </si>
  <si>
    <t>2025 Avbestillingsforsikring</t>
  </si>
  <si>
    <t>SUM KOSTNADER ekskl. Extraordinary Fee</t>
  </si>
  <si>
    <t>SUM KOSTNADER inkl. Extraordinary Fee</t>
  </si>
  <si>
    <t>RESULTAT, EKSKL. EXTRAORDINARY FEE</t>
  </si>
  <si>
    <t>RESULTAT, INKL. EXTRAORDINARY FEE</t>
  </si>
  <si>
    <t>VILLAGE</t>
  </si>
  <si>
    <t>Step Up</t>
  </si>
  <si>
    <t>YOUTH MEETING</t>
  </si>
  <si>
    <t>Seminar</t>
  </si>
  <si>
    <t>Delegasjoner</t>
  </si>
  <si>
    <t>JCer</t>
  </si>
  <si>
    <t>8 dager</t>
  </si>
  <si>
    <t>15 dager</t>
  </si>
  <si>
    <t>Deltakere 2022</t>
  </si>
  <si>
    <t>Norden</t>
  </si>
  <si>
    <t>Europa</t>
  </si>
  <si>
    <t>USA/Canada</t>
  </si>
  <si>
    <t>Verden for øvrig</t>
  </si>
  <si>
    <t>SUM (delegasjoner)</t>
  </si>
  <si>
    <t>Delegater per delegasjon</t>
  </si>
  <si>
    <t>Delegasjoner per leir</t>
  </si>
  <si>
    <t>Deltakere ekskl. ledere</t>
  </si>
  <si>
    <t>Deltakere inkl. ledere</t>
  </si>
  <si>
    <t>LEIRE I NORGE</t>
  </si>
  <si>
    <t>Antall leire</t>
  </si>
  <si>
    <t>Stabsmedlemmer pr leir</t>
  </si>
  <si>
    <t>Tot. # stabsmedlemmer</t>
  </si>
  <si>
    <t>Internasjonal avgift</t>
  </si>
  <si>
    <t>£  /delegasjon</t>
  </si>
  <si>
    <t xml:space="preserve">£  /deltaker </t>
  </si>
  <si>
    <t>Del IO (£/ delegasjon)</t>
  </si>
  <si>
    <t>Del arrangør (£/ delegasjon)</t>
  </si>
  <si>
    <t>Del arrangør (£/ leir)</t>
  </si>
  <si>
    <t>Del arrangør (NOK/ leir)</t>
  </si>
  <si>
    <t>Prosentvis som arrangør beholder</t>
  </si>
  <si>
    <t>Extraordinary Fee (£/ delegat)</t>
  </si>
  <si>
    <t>Extraordinary Fee (£/ delegasjon)</t>
  </si>
  <si>
    <t>Extraordinary Fee, egen andel (£/ delegat)</t>
  </si>
  <si>
    <t>Extraordinary Fee, dekkes sentralt (£/ delegat)</t>
  </si>
  <si>
    <t>EMEA Fond</t>
  </si>
  <si>
    <t>Fra IO (NOK pr internasjonale leir)</t>
  </si>
  <si>
    <t>Fra CISV Norge (kr pr leir)</t>
  </si>
  <si>
    <t>Reisestøtte</t>
  </si>
  <si>
    <t>Finnmark (kr/delegasjon)</t>
  </si>
  <si>
    <t>Troms (kr/delegasjon</t>
  </si>
  <si>
    <t>Sogn &amp; Fjordane (kr/ delegasjon)</t>
  </si>
  <si>
    <t>Kalkulert kost, ledertrening (kr pr delegat/JC)</t>
  </si>
  <si>
    <t>Kalkulert kost, delegattrening (kr pr delegat)</t>
  </si>
  <si>
    <t>Prisgrunnlag før kostutjevning/subst.</t>
  </si>
  <si>
    <t>Andre kostnader</t>
  </si>
  <si>
    <t>Nasjonal avgift (kr)</t>
  </si>
  <si>
    <t>Nasjonal avbestillingsforsikring (kr)</t>
  </si>
  <si>
    <t>Kost effektpakker (kr/pakke)</t>
  </si>
  <si>
    <t>Pris effektpakker (kr/delegat)</t>
  </si>
  <si>
    <t>IC, antall deltakere</t>
  </si>
  <si>
    <t># delegasjoner</t>
  </si>
  <si>
    <t># delegater</t>
  </si>
  <si>
    <t># ledere 21+</t>
  </si>
  <si>
    <t># juniorledere</t>
  </si>
  <si>
    <t># ledere tot.</t>
  </si>
  <si>
    <t>Antall deltakere totalt</t>
  </si>
  <si>
    <t>Grunnlag reisestøtte</t>
  </si>
  <si>
    <t>Village</t>
  </si>
  <si>
    <t>Delegasjoner, Finnmark</t>
  </si>
  <si>
    <t>Delegasjoner, Troms</t>
  </si>
  <si>
    <t>Delegasjoner, Sogn &amp; Fj.</t>
  </si>
  <si>
    <t>Forutsette kostnader (brukes i prisberegning):</t>
  </si>
  <si>
    <t>Trening</t>
  </si>
  <si>
    <t>Lokale (tot, 
ikke per pers)</t>
  </si>
  <si>
    <t>Losji per pers</t>
  </si>
  <si>
    <t>Mat per pers</t>
  </si>
  <si>
    <t>Reise per pers</t>
  </si>
  <si>
    <t>Sum kostnad
per pers</t>
  </si>
  <si>
    <t>Deltakelse</t>
  </si>
  <si>
    <t>Trenings-stab</t>
  </si>
  <si>
    <t>Utstyr</t>
  </si>
  <si>
    <t>NEO</t>
  </si>
  <si>
    <t>LTS</t>
  </si>
  <si>
    <t>SUDT</t>
  </si>
  <si>
    <t>STAS</t>
  </si>
  <si>
    <t>Leirstartseminar (HM)</t>
  </si>
  <si>
    <t>Leirlederseminar</t>
  </si>
  <si>
    <t>Faktiske kostnader, når vi vet:</t>
  </si>
  <si>
    <t>Lokale (totalt)</t>
  </si>
  <si>
    <t>Antall pers</t>
  </si>
  <si>
    <t>Junior-NEO</t>
  </si>
  <si>
    <t>Senior-NEO</t>
  </si>
  <si>
    <t>MAKS ANTALL DELTAKERE PÅ TRENING</t>
  </si>
  <si>
    <t>ANDEL AV TRENINGSKOSTNADER</t>
  </si>
  <si>
    <t>Youth
Meeting</t>
  </si>
  <si>
    <t>LIC (HM)</t>
  </si>
  <si>
    <t>SUM (deltakerdøgn)</t>
  </si>
  <si>
    <t>FRA KOMITÉPLANER</t>
  </si>
  <si>
    <t>Junior</t>
  </si>
  <si>
    <t>RM</t>
  </si>
  <si>
    <t>Utdanning</t>
  </si>
  <si>
    <t>Kommunikasjon</t>
  </si>
  <si>
    <t>Utvikling</t>
  </si>
  <si>
    <t>Ressurs</t>
  </si>
  <si>
    <t>Kontroll</t>
  </si>
  <si>
    <t>Valg</t>
  </si>
  <si>
    <t>Reisekostnader</t>
  </si>
  <si>
    <t>Januarmøtet</t>
  </si>
  <si>
    <t>Komitémøte</t>
  </si>
  <si>
    <t>Høstmøte</t>
  </si>
  <si>
    <t>Landsmøte</t>
  </si>
  <si>
    <t>Mosaikkprisen</t>
  </si>
  <si>
    <t>Stabstrening Verden-I</t>
  </si>
  <si>
    <t>Dokumentere events</t>
  </si>
  <si>
    <t>Sum reisekostnader</t>
  </si>
  <si>
    <t>Post</t>
  </si>
  <si>
    <t>Digital game book</t>
  </si>
  <si>
    <t>Nasjonale YM</t>
  </si>
  <si>
    <t>Påske-YM erstatter NJC.</t>
  </si>
  <si>
    <t>Premiering av respons på undersøkelser</t>
  </si>
  <si>
    <t>Premiering konkurranser</t>
  </si>
  <si>
    <t>Sum andre kostnader</t>
  </si>
  <si>
    <t>ANDRE KOMITÉKOSTNADER</t>
  </si>
  <si>
    <t>Hotell</t>
  </si>
  <si>
    <t>Lokaler</t>
  </si>
  <si>
    <t>PROSJEKTER I 2022</t>
  </si>
  <si>
    <t>Total utbetaling</t>
  </si>
  <si>
    <t>Forbruk av utbetaling</t>
  </si>
  <si>
    <t>Overføres og forbrukes sentralt</t>
  </si>
  <si>
    <t>Tilleggsforbruk utover utbetaling dekkes sentralt</t>
  </si>
  <si>
    <t>Navn:</t>
  </si>
  <si>
    <t>Type prosjekt:</t>
  </si>
  <si>
    <t>Tidspunkt:</t>
  </si>
  <si>
    <t>Søker om:</t>
  </si>
  <si>
    <t>Inntekt 2022</t>
  </si>
  <si>
    <t>Kostnad 2022</t>
  </si>
  <si>
    <t>Administrasjon 2022</t>
  </si>
  <si>
    <t>Egenandel</t>
  </si>
  <si>
    <t>Egenandel - Kommentar</t>
  </si>
  <si>
    <t>Peace One Day</t>
  </si>
  <si>
    <t>UDI - Verden i</t>
  </si>
  <si>
    <t>UDI -Verden I</t>
  </si>
  <si>
    <t>NB: Vi har over 100.000kr i rest etter to prosjekter (2015 og 2019) - rapportert til UDI, men ikke krevd tilbake. Skal vi enten betale tilbake tilbake eller søke om å omdisponere?</t>
  </si>
  <si>
    <t>Studieforbundet for Næring og Samfunn</t>
  </si>
  <si>
    <t>SNS - Leirstøtte</t>
  </si>
  <si>
    <t>Brukes for å subsidere deltakeravgift. Færre leirer i 2020.</t>
  </si>
  <si>
    <t>SNS - nasjonale møter</t>
  </si>
  <si>
    <t>Generell kompetanseheving</t>
  </si>
  <si>
    <t>SUBSIDIERING</t>
  </si>
  <si>
    <t>Scenario A</t>
  </si>
  <si>
    <t>Nasjonal grunnpris 2022</t>
  </si>
  <si>
    <t>Forslag grunnpris 2021</t>
  </si>
  <si>
    <t>Nasjonal grunnpris 2020</t>
  </si>
  <si>
    <t>Nasjonal grunnpris 2019</t>
  </si>
  <si>
    <t>Total sum</t>
  </si>
  <si>
    <t>Kost</t>
  </si>
  <si>
    <t>Kostutjevning</t>
  </si>
  <si>
    <t>Pris pr. delegat</t>
  </si>
  <si>
    <t>Pris pr. delegasjon</t>
  </si>
  <si>
    <t>Endring 2020-2022</t>
  </si>
  <si>
    <t>Endring 2020-2021</t>
  </si>
  <si>
    <t>Endring 2019-2020</t>
  </si>
  <si>
    <t>USA + Canada</t>
  </si>
  <si>
    <t>Verden</t>
  </si>
  <si>
    <t>JC</t>
  </si>
  <si>
    <t xml:space="preserve"> ----</t>
  </si>
  <si>
    <t>KOSTNADSBEREGNING</t>
  </si>
  <si>
    <t>&lt;- Historikk</t>
  </si>
  <si>
    <t>Fredag-lørdag</t>
  </si>
  <si>
    <t>Lørdag-søndag</t>
  </si>
  <si>
    <t>BESTILT:</t>
  </si>
  <si>
    <t>Type rom</t>
  </si>
  <si>
    <t>Priser 2021</t>
  </si>
  <si>
    <t>Antall rom</t>
  </si>
  <si>
    <t>Sum pris</t>
  </si>
  <si>
    <t>Tot. Pers
lør-søn</t>
  </si>
  <si>
    <t>Overnatting (m kost)</t>
  </si>
  <si>
    <t>Enkeltrom</t>
  </si>
  <si>
    <t>Dobbeltrom</t>
  </si>
  <si>
    <t>Tremannsrom</t>
  </si>
  <si>
    <t>Firemannsrom</t>
  </si>
  <si>
    <t>Dagpakke</t>
  </si>
  <si>
    <t>Middag</t>
  </si>
  <si>
    <t>Møterom</t>
  </si>
  <si>
    <t>Fredag</t>
  </si>
  <si>
    <t>Lørdag</t>
  </si>
  <si>
    <t>Søndag</t>
  </si>
  <si>
    <t>Store grupperom</t>
  </si>
  <si>
    <t>Små grupperom</t>
  </si>
  <si>
    <t>NØKKELTALL</t>
  </si>
  <si>
    <t>Antall overnattinger totalt</t>
  </si>
  <si>
    <t>Snittpris overnatting pr natt</t>
  </si>
  <si>
    <t>Pris dagpakke</t>
  </si>
  <si>
    <t>Pris middag</t>
  </si>
  <si>
    <t>Kost og losji, fre-søn</t>
  </si>
  <si>
    <t>Kost og losji, lør-søn</t>
  </si>
  <si>
    <t>Pris lokaler per pers</t>
  </si>
  <si>
    <t>Reise pr. pers</t>
  </si>
  <si>
    <t>KOSTNADSFORDELING</t>
  </si>
  <si>
    <t>Antall deltakere</t>
  </si>
  <si>
    <t>Kost &amp; Losji, kostnad</t>
  </si>
  <si>
    <t>Fre-søn</t>
  </si>
  <si>
    <t>Lør-søn</t>
  </si>
  <si>
    <t>Nasjonalt</t>
  </si>
  <si>
    <t>Føres i Komitéer</t>
  </si>
  <si>
    <t xml:space="preserve">Utvikling </t>
  </si>
  <si>
    <t>Risk Management*</t>
  </si>
  <si>
    <t>Bekostes sentralt, men regnes med i komitébudsjettet</t>
  </si>
  <si>
    <t>Føres i Program</t>
  </si>
  <si>
    <t>Leirstartseminar</t>
  </si>
  <si>
    <t>Bekostes sentralt, men regnes med i Programbudsjettet</t>
  </si>
  <si>
    <t>Føres i Sentralt</t>
  </si>
  <si>
    <t>STS og kontoret</t>
  </si>
  <si>
    <t>Foredragsholdere</t>
  </si>
  <si>
    <t>RMK</t>
  </si>
  <si>
    <t>Bekostes sentralt</t>
  </si>
  <si>
    <t>Fylkes- og lokallag</t>
  </si>
  <si>
    <t>RSM</t>
  </si>
  <si>
    <t>Juniorløypa</t>
  </si>
  <si>
    <t>Kurs for tillitsvalgte</t>
  </si>
  <si>
    <t>Div bolker</t>
  </si>
  <si>
    <t>Dekkes av lag. Dvs. sentralt legger ut, får inn gjennom deltakeravgifter.</t>
  </si>
  <si>
    <t>Sentralt-fane, inntekt:</t>
  </si>
  <si>
    <t>Sentralt-fane, kost:</t>
  </si>
  <si>
    <t>Priser 2016</t>
  </si>
  <si>
    <t>Priser 2017</t>
  </si>
  <si>
    <t>Priser 2018</t>
  </si>
  <si>
    <t>Priser 2019</t>
  </si>
  <si>
    <t>Priser 2020</t>
  </si>
  <si>
    <t>Priser 2022</t>
  </si>
  <si>
    <t>#pers lør-søn</t>
  </si>
  <si>
    <t>Dagpakke (gjelder begge dager!)</t>
  </si>
  <si>
    <t>Middag lørdag</t>
  </si>
  <si>
    <t>Sum kost/losji</t>
  </si>
  <si>
    <t>SUM inkl reise</t>
  </si>
  <si>
    <t>Risk Management</t>
  </si>
  <si>
    <t>Valgkomitéen</t>
  </si>
  <si>
    <t>Kontrollkomitéen</t>
  </si>
  <si>
    <t>STS</t>
  </si>
  <si>
    <t>Kontoret</t>
  </si>
  <si>
    <t>Ekstra plasser</t>
  </si>
  <si>
    <t>Sum, dekkes nasjonalt</t>
  </si>
  <si>
    <t>Under 26</t>
  </si>
  <si>
    <t>Priser</t>
  </si>
  <si>
    <t>Konto</t>
  </si>
  <si>
    <t>Navn</t>
  </si>
  <si>
    <t>Balanse
før avsetning</t>
  </si>
  <si>
    <t>Vedtektsfestet målverdi</t>
  </si>
  <si>
    <t>Avsetning 2021</t>
  </si>
  <si>
    <t>Avsetning 2022</t>
  </si>
  <si>
    <t>Balanse 
etter avsetning</t>
  </si>
  <si>
    <t>Kommentar</t>
  </si>
  <si>
    <t>250 000 2013-kroner</t>
  </si>
  <si>
    <t>Delegasjonsfondet</t>
  </si>
  <si>
    <t>Tilføres del av overskuddet fra Program</t>
  </si>
  <si>
    <t>Østeuropafondet</t>
  </si>
  <si>
    <t>Reservefond</t>
  </si>
  <si>
    <t>550 000 2013-kroner</t>
  </si>
  <si>
    <t>STAI-fondet</t>
  </si>
  <si>
    <t>Tilføres 25% av renteinntekter</t>
  </si>
  <si>
    <t>Stipendfond</t>
  </si>
  <si>
    <t>Fri egenkapital</t>
  </si>
  <si>
    <t>Resten av resultatet</t>
  </si>
  <si>
    <t>Type</t>
  </si>
  <si>
    <t>Beskrivelse</t>
  </si>
  <si>
    <t>Forklaring</t>
  </si>
  <si>
    <t>£ pr døgn pr deltaker (unntatt IPP)</t>
  </si>
  <si>
    <t xml:space="preserve">Vi har ikke C-10. Det var en økning på 2,5% fra 2017-2018. vi anslår at de fortsetter å øke annet hvert år og beholder denne på 12, 45. </t>
  </si>
  <si>
    <t xml:space="preserve">Internasjonal forsikring </t>
  </si>
  <si>
    <t>£ per deltager (for program over 21 dager)</t>
  </si>
  <si>
    <t>£ per deltager (for program under 21 dager)</t>
  </si>
  <si>
    <t>Internasjonal avgift - IPP</t>
  </si>
  <si>
    <t>£ pr døgn pr deltaker</t>
  </si>
  <si>
    <t>Økning fra 2014-2015 lagt til 2016 for å få 2017</t>
  </si>
  <si>
    <t>Internasjonal avgift - Interchange</t>
  </si>
  <si>
    <t>£ pr. deltaker</t>
  </si>
  <si>
    <t>Internasjonal avgift - Global Conference costsharing</t>
  </si>
  <si>
    <t>£ pr. fylkeslag og NA</t>
  </si>
  <si>
    <t>Internasjonal avgift - Chapter fee</t>
  </si>
  <si>
    <t xml:space="preserve">£ pr. fylkeslag   </t>
  </si>
  <si>
    <t>Internasjonal avgift - NA Membership</t>
  </si>
  <si>
    <t>£ for CISV Norge</t>
  </si>
  <si>
    <t>Virkelig pundkurs</t>
  </si>
  <si>
    <t>Økning KPI</t>
  </si>
  <si>
    <t>KPI-juster</t>
  </si>
  <si>
    <t>Norge</t>
  </si>
  <si>
    <t>Tor Gunnar? Er dette for å dekke stabstrening? Er for å dekke drift av CISV Norge</t>
  </si>
  <si>
    <t>Nasjonal avbestillingsforsikring</t>
  </si>
  <si>
    <t>Flyttet over til internasjonal forsikring - FEIL!</t>
  </si>
  <si>
    <t>Effektpakker</t>
  </si>
  <si>
    <t xml:space="preserve">Innholdet i effektpakken endres i 2017. </t>
  </si>
  <si>
    <t>Ledertrening - Barneleir</t>
  </si>
  <si>
    <t>pr delegat</t>
  </si>
  <si>
    <t xml:space="preserve">Ikke økt siden 2015 - kpi </t>
  </si>
  <si>
    <t>Ledertrening - JC</t>
  </si>
  <si>
    <t>pr JC</t>
  </si>
  <si>
    <t>Ledertrening - Step-Up</t>
  </si>
  <si>
    <t>Har LTS og SUDT</t>
  </si>
  <si>
    <t>Delegattrening - Step-Up</t>
  </si>
  <si>
    <t>Ledertrening - Interchange</t>
  </si>
  <si>
    <t>Gikk ned 200 fra 2015 til 2016. Er lik trening som andre ledere</t>
  </si>
  <si>
    <t>Ledertrening - Youth Meeting</t>
  </si>
  <si>
    <t>Delegattrening - Youth Meeting (ind, 16-18)</t>
  </si>
  <si>
    <t>Delegattrening - Youth Meeting (14-15 år))</t>
  </si>
  <si>
    <t>Delegattrening - IPP</t>
  </si>
  <si>
    <t>Delegattrening - Seminar</t>
  </si>
  <si>
    <t xml:space="preserve">Programmet går i minus. Vi øker med </t>
  </si>
  <si>
    <t>Reiseutgifter 24 804 / 17</t>
  </si>
  <si>
    <t xml:space="preserve">RSM høst 15 ønsker at budsjettet indeksreguleres </t>
  </si>
  <si>
    <t>Delegasjon</t>
  </si>
  <si>
    <t>Opererer vi med feil andel deltakeravgift fra IO?</t>
  </si>
  <si>
    <t>LEIRSTØTTE FRA INTERNATIONAL OFFICE</t>
  </si>
  <si>
    <t>Barneleir (inkl. JC)</t>
  </si>
  <si>
    <t>£ pr leir</t>
  </si>
  <si>
    <t>Hvordan kommer man til dette tallet? Ser ut til å være brukt feil fordelingsnøkkel.</t>
  </si>
  <si>
    <t>Sammenheng med forsikring IO?</t>
  </si>
  <si>
    <t>IPP</t>
  </si>
  <si>
    <t>52 /16 = 3,25</t>
  </si>
  <si>
    <t>Andel av deltageravgift som leirstøtte fra IO</t>
  </si>
  <si>
    <t>LEIRSTØTTE FRA CISV NORGE</t>
  </si>
  <si>
    <t>i kr</t>
  </si>
  <si>
    <t>KPI-justere. Har vi råd til det?</t>
  </si>
  <si>
    <t>Youth Meeting - 8dager</t>
  </si>
  <si>
    <t>Youth Meeting - 15dager</t>
  </si>
  <si>
    <t>Reisestøtte - Barneleir</t>
  </si>
  <si>
    <t>Delegasjoner - Finnmark</t>
  </si>
  <si>
    <t>Støtte pr delegasjon</t>
  </si>
  <si>
    <t>Her blir det vel ikke riktig å KPI-justere?</t>
  </si>
  <si>
    <t>Delegasjoner - Troms</t>
  </si>
  <si>
    <t>Forholdet mellom å reise fra disse fylkene og resten av landet har vel ikke endret seg?</t>
  </si>
  <si>
    <t>Delegasjoner - Sogn&amp;Fjordane</t>
  </si>
  <si>
    <t>Reisestøtte - Step-up</t>
  </si>
  <si>
    <t>TRENING</t>
  </si>
  <si>
    <t xml:space="preserve">leder , village, SU, IC, YM, </t>
  </si>
  <si>
    <t>Av vel 160 potensielle var det 94 påmeldte til NEO.</t>
  </si>
  <si>
    <t>Stab</t>
  </si>
  <si>
    <t>Antall mulige ledere</t>
  </si>
  <si>
    <t>Leder barneleir, step up, interchange</t>
  </si>
  <si>
    <t>Justeres opp pga 2016-tall og fordi det er et mål</t>
  </si>
  <si>
    <t>Barneleir (5 stab)</t>
  </si>
  <si>
    <t>Step Up (4 stab)</t>
  </si>
  <si>
    <t>Youth meeting (to leirer 4 stab)</t>
  </si>
  <si>
    <t>Delegattrening – YM (14-15) faktisk deltalse SUDT</t>
  </si>
  <si>
    <t>Delegattrening – YM (14-15) mulig deltalse SUDT</t>
  </si>
  <si>
    <t>Har kun tall fra 2016 da dette er nytt</t>
  </si>
  <si>
    <t>Leirstartseminar mulige deltakere</t>
  </si>
  <si>
    <t>Leirstartseminar faktiske deltakere</t>
  </si>
  <si>
    <t>NJC/Seminarleirtrening</t>
  </si>
  <si>
    <t>Vi må i hvert fall kpi-justere</t>
  </si>
  <si>
    <t xml:space="preserve">En i Bergen, en i Oslo. </t>
  </si>
  <si>
    <t>Beholder likt fordi man ikke alltid har lederne på plass til så tidlig på våren.</t>
  </si>
  <si>
    <t>Øst og Vest</t>
  </si>
  <si>
    <t>Delegattrening – YM (14-15)</t>
  </si>
  <si>
    <t>Mest sammenlignbart med SUDT. Reise framstår lavt, vi setter den 650 fordi det kun er en av dette i landet.</t>
  </si>
  <si>
    <t>Leir Kick-Off</t>
  </si>
  <si>
    <t>Mange voksne som deltar</t>
  </si>
  <si>
    <t>Påskeferie, dyrere å reise</t>
  </si>
  <si>
    <t>Mest sammenlignbart med SUDT</t>
  </si>
  <si>
    <t>Variablene må jobbes mest med i starten av prosessen.</t>
  </si>
  <si>
    <t>Oppdatere i forhold til rutinemessige ting (C10 fra IO), antall invitasjoner, antalle egne leirer osv.</t>
  </si>
  <si>
    <t>Treffe estimatene for treningene våre, B-D 92:99</t>
  </si>
  <si>
    <t>Variabler</t>
  </si>
  <si>
    <t>Internasjonal driftsstøtte B102</t>
  </si>
  <si>
    <t xml:space="preserve">Gå gjennom </t>
  </si>
  <si>
    <t>Vi subsidierer de som reiser utenfor norge/norden med internasjonal driftsstøtte fra bufdir</t>
  </si>
  <si>
    <t>Justere på program  -gjøres gjennom variabler</t>
  </si>
  <si>
    <t>HØSTMØTET: Alle komiteene har blitt dekket til høstmøtet</t>
  </si>
  <si>
    <t>Tidligere har reisestøtte for komiteene ligget inne under fane sentralt. F24</t>
  </si>
  <si>
    <t xml:space="preserve">Legge inn </t>
  </si>
  <si>
    <t>Må være likt for alle komiteene OBS landsmøtet også</t>
  </si>
  <si>
    <t>Nye prosjekter</t>
  </si>
  <si>
    <t>Når det gjelder kost og losji har vi bedre forutsetninger å estimere</t>
  </si>
  <si>
    <t>Må informere komiteene</t>
  </si>
  <si>
    <t>Komiteer</t>
  </si>
  <si>
    <t>Overlappingsseminar:</t>
  </si>
  <si>
    <t xml:space="preserve">Mat 6000, leie av lokale 8000 eller 14000, 6000 hotell, reiseskjema, </t>
  </si>
  <si>
    <t>Komiteer:</t>
  </si>
  <si>
    <t>Vær obs på budsjettimplikasjoner forbundet med komiteer vs. Hva som allerede er hensynstatt under sentralt</t>
  </si>
  <si>
    <t>Ingen kostnader forbundet med tlf og lignende</t>
  </si>
  <si>
    <t>Under fane komiteer under utdanningskomiteen skal det hovedsak være reisekostnader stab - hvorfor så relativ stor forskjell i LTS øst vs. Vest</t>
  </si>
  <si>
    <t>Fane prosjekter viser innvilget støtte som vi har fått basert på søknader</t>
  </si>
  <si>
    <t>Egne prosjektregnskap for større prosjekter. Enklere å forklare regnskapet</t>
  </si>
  <si>
    <t xml:space="preserve">Vil oppleve at budsjett og regnskap ikke alltid vil samstemme </t>
  </si>
  <si>
    <t>7610 er konto som brukes ved budsjettering, men ved regnskap vil denne ha blitt plassert mer konkret hvor de faktisk har gått.</t>
  </si>
  <si>
    <t>Hvor god kontroll har vi på mulige steder vi kan søke om midler til prosjekter</t>
  </si>
  <si>
    <t>Fane sentralt:</t>
  </si>
  <si>
    <t>Hva</t>
  </si>
  <si>
    <t>Salg av effekter ikke inkl effektpakker</t>
  </si>
  <si>
    <t>Snitt for siste tre årene i nettbutikken</t>
  </si>
  <si>
    <t>Frifond Organisasjon</t>
  </si>
  <si>
    <t>Basert på antall medlemmer året før. Over/under 26. LNU. Også avhengig av hvor mange organisasjoner og deres medlemmer som søker</t>
  </si>
  <si>
    <t>Høstmøte og Landsmøte</t>
  </si>
  <si>
    <t>Nytt fakturasystem gjør at deltakeravgift har gått fra sekkeposten 3901 til 3902 + andre. Dermed kan vi lettere se hva som faktisk er inntekt her i regnskap.</t>
  </si>
  <si>
    <t>HM2015</t>
  </si>
  <si>
    <t xml:space="preserve">LM </t>
  </si>
  <si>
    <t>Sum hm15 og lm 16 134. vi legger oss litt under</t>
  </si>
  <si>
    <t>LM 2016 innbet</t>
  </si>
  <si>
    <t>Snitt siste tre år pluss noen som betaler som vi ikke kan regne som medlemmer</t>
  </si>
  <si>
    <t>Momskompensasjon inn</t>
  </si>
  <si>
    <t>Avkortning av hva vi søker om i forhold til hva vi får</t>
  </si>
  <si>
    <t>Avkortningen øker mest sannsynlig, økningen i momskompensasjon skal gå til reise til neste global conferance</t>
  </si>
  <si>
    <t>Dvs at vi MÅ gå i pluss</t>
  </si>
  <si>
    <t>Avkorting i prosent</t>
  </si>
  <si>
    <t>Drift faktureres per adresse ganget med en sum</t>
  </si>
  <si>
    <t>Ser ikke ut at inntekten fra lagene går inn på budjett enkel!</t>
  </si>
  <si>
    <t>Medlemsregister anskaffelse</t>
  </si>
  <si>
    <t>Anskaffelseskostnad 2017 må være delt mellom lagene og Norge.</t>
  </si>
  <si>
    <t>Vi foreslår at det baseres på medlemstall og ikke antall adresser.</t>
  </si>
  <si>
    <t>Denne posten må justeres utfra hvilket medlemssystem RSM går for.</t>
  </si>
  <si>
    <t>Ble fylkeslagene fakturert sist?</t>
  </si>
  <si>
    <t xml:space="preserve">Styringsgruppe for innspill til medlemssystem: </t>
  </si>
  <si>
    <t>Ren drift, avsetninger fordelt på tre år (ikke vanlig), avskrive over flere år,</t>
  </si>
  <si>
    <t>Obs når vi legger fram forslag til medlemssystem - VISE FRAM VEDTAKET FOR RSM. Hva trenger vi, hva kan leveres og hva vil det koste. Innspill fra Hilde. Mail til lagene -hva er viktigst for dem.</t>
  </si>
  <si>
    <t>Arbeidsgruppa mener at situasjonen ikke er så kritisk som den kunne virke på landsmøtet og vil derfor kartlegge behovene i lagene FØR vi går til anskaffelse av system.</t>
  </si>
  <si>
    <t>Medlemsblad</t>
  </si>
  <si>
    <t>Sentralstyremøter (2 møter)</t>
  </si>
  <si>
    <t>Marsmøtet: Knut 2000, Turid 2000, Ingrid og Ine 500 hver, Morten 4000, Fredrik 1000 =10 Junimøtet: Samme for alle + eventuelt nyvalgt leder og programansvarlig.  = 12 000</t>
  </si>
  <si>
    <t>Landsmøtet CISV Norge, Kristiansand</t>
  </si>
  <si>
    <t xml:space="preserve">Reiseutjevning inntil 3 per fylkeslag, leder av komiteer. </t>
  </si>
  <si>
    <t>Fire stk som tar tog a 1000 kr, 4 stk som flyr a 2500, 1 stk som flyr fra finnmark 3500</t>
  </si>
  <si>
    <t>5*2000 + 1*5000</t>
  </si>
  <si>
    <t>5 i sentralstyret, 1 fra oslo 250, 1 fra krsand 1500, 2 fra bergen 2*1500, 1 fra finnmark 4000,evs 2*250, daglig leder 250, ib 2000</t>
  </si>
  <si>
    <t xml:space="preserve">Komitémøte Januar </t>
  </si>
  <si>
    <t>4000+0+1500+2000+2000</t>
  </si>
  <si>
    <t>Nasjonal Junior Camp (eksl. Seminarleirdeltakere)</t>
  </si>
  <si>
    <t>Kost/losji/opphold</t>
  </si>
  <si>
    <t>Hotell Ernst i Kristiansand. Norge dekker STS, sekreteriat og komiteledere - 5+4+12 (to juniorledere)</t>
  </si>
  <si>
    <t>Sentralstyret og sekreteriat kommer fredag</t>
  </si>
  <si>
    <t>Prosjekter:</t>
  </si>
  <si>
    <t>Etter samtale med Ingrid 12.10.16 beholder vi summene her.</t>
  </si>
  <si>
    <t>Opplysningsarbeid for fred UD</t>
  </si>
  <si>
    <t>Noe som framstår rart er at inntektene er lavere i budsjett_enkel</t>
  </si>
  <si>
    <t>Utveksling med CISV Colombia - Mangfold</t>
  </si>
  <si>
    <t>Fredskorpset</t>
  </si>
  <si>
    <t>1 140 000 ligger inn under prosjekter, men kun 930 000 ligger i budsjett_enkel - en differanse på 210 000</t>
  </si>
  <si>
    <t>UDI</t>
  </si>
  <si>
    <t>140 000 av inntektene overføres til sentralt</t>
  </si>
  <si>
    <t>EVS 1</t>
  </si>
  <si>
    <t>Aktiv Ungdom</t>
  </si>
  <si>
    <t>EVS 2</t>
  </si>
  <si>
    <t>Kompetanseheving Norges Fredsråd</t>
  </si>
  <si>
    <t>Flybilletter til Colombia</t>
  </si>
  <si>
    <t xml:space="preserve">CISV har en representant, ikke IB. </t>
  </si>
  <si>
    <t xml:space="preserve">De norske deltakerne deltar på RTF. </t>
  </si>
  <si>
    <t>24.-28. mai 2017</t>
  </si>
  <si>
    <t>Velkomstmiddag i oslo, styreleder daglig leder - hele kompaz, tidligere deltakere, evsere (hvis hensiktsmessig)</t>
  </si>
  <si>
    <t>Høstmøtet - hele kompaz. Evalueringshelg</t>
  </si>
  <si>
    <t>Prosjektet dekker</t>
  </si>
  <si>
    <t>CISV colombia betaler partnerskapsmøte på høstmøtet</t>
  </si>
  <si>
    <t>Betaler de faktisk for hotellet?</t>
  </si>
  <si>
    <t>Gi diverse cisv-effekter har blitt pleid å gi - typisk hettegenser/t-skjorter</t>
  </si>
  <si>
    <t xml:space="preserve">IB har ikke totalt oversikt slik at det kan finnes flere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</si>
</sst>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 * #,##0.00_ ;_ * \-#,##0.00_ ;_ * &quot;-&quot;??_ ;_ @_ "/>
    <numFmt numFmtId="165" formatCode="_ * #,##0_ ;_ * \-#,##0_ ;_ * &quot;-&quot;??_ ;_ @_ "/>
    <numFmt numFmtId="166" formatCode="_-* #,##0.00_-;\-* #,##0.00_-;_-* &quot;-&quot;??_-;_-@"/>
    <numFmt numFmtId="167" formatCode="\ #,##0\ ;&quot; -&quot;#,##0\ ;&quot; - &quot;;@\ "/>
    <numFmt numFmtId="168" formatCode="_-&quot;kr&quot;\ * #,##0.00_-;\-&quot;kr&quot;\ * #,##0.00_-;_-&quot;kr&quot;\ * &quot;-&quot;??_-;_-@"/>
    <numFmt numFmtId="169" formatCode="\ #,##0\ ;&quot; -&quot;#,##0\ ;&quot; -&quot;#\ ;@\ "/>
    <numFmt numFmtId="170" formatCode="0.000%"/>
    <numFmt numFmtId="171" formatCode="_ * #,##0.0_ ;_ * \-#,##0.0_ ;_ * &quot;-&quot;??_ ;_ @_ "/>
    <numFmt numFmtId="172" formatCode="_-* #,##0_-;\-* #,##0_-;_-* &quot;-&quot;??_-;_-@"/>
    <numFmt numFmtId="173" formatCode="[$kr-406]\ #,##0;[$kr-406]&quot; -&quot;#,##0"/>
    <numFmt numFmtId="174" formatCode="d/\ mmm\ yy"/>
    <numFmt numFmtId="175" formatCode="&quot; kr &quot;#,##0.00\ ;&quot; kr -&quot;#,##0.00\ ;&quot; kr -&quot;#\ ;@\ "/>
    <numFmt numFmtId="176" formatCode="0.0\ %"/>
    <numFmt numFmtId="177" formatCode="0.0"/>
    <numFmt numFmtId="178" formatCode="\ #,##0\ ;\(#,##0\)"/>
    <numFmt numFmtId="179" formatCode="\ #,##0.00\ ;\(#,##0.00\)"/>
    <numFmt numFmtId="180" formatCode="\ #,##0.00\ ;&quot; -&quot;#,##0.00\ ;&quot; -&quot;#\ ;@\ "/>
  </numFmts>
  <fonts count="49" x14ac:knownFonts="1">
    <font>
      <sz val="10"/>
      <color rgb="FF000000"/>
      <name val="Calibri"/>
      <scheme val="minor"/>
    </font>
    <font>
      <sz val="10"/>
      <color rgb="FF000000"/>
      <name val="Calibri"/>
    </font>
    <font>
      <b/>
      <sz val="14"/>
      <color theme="0"/>
      <name val="Calibri"/>
    </font>
    <font>
      <b/>
      <sz val="10"/>
      <color theme="1"/>
      <name val="Calibri"/>
    </font>
    <font>
      <b/>
      <sz val="10"/>
      <color rgb="FFFFFFFF"/>
      <name val="Calibri"/>
    </font>
    <font>
      <b/>
      <sz val="10"/>
      <color theme="0"/>
      <name val="Calibri"/>
    </font>
    <font>
      <b/>
      <sz val="10"/>
      <color rgb="FF000000"/>
      <name val="Calibri"/>
    </font>
    <font>
      <sz val="10"/>
      <color rgb="FFFF0000"/>
      <name val="Calibri"/>
    </font>
    <font>
      <sz val="10"/>
      <color theme="1"/>
      <name val="Calibri"/>
    </font>
    <font>
      <sz val="10"/>
      <color rgb="FF44546A"/>
      <name val="Calibri"/>
    </font>
    <font>
      <sz val="10"/>
      <color rgb="FF00B050"/>
      <name val="Calibri"/>
    </font>
    <font>
      <b/>
      <sz val="10"/>
      <color rgb="FFFF0000"/>
      <name val="Calibri"/>
    </font>
    <font>
      <strike/>
      <sz val="10"/>
      <color rgb="FFBFBFBF"/>
      <name val="Calibri"/>
    </font>
    <font>
      <sz val="10"/>
      <color rgb="FFBFBFBF"/>
      <name val="Calibri"/>
    </font>
    <font>
      <b/>
      <sz val="11"/>
      <color theme="1"/>
      <name val="Calibri"/>
    </font>
    <font>
      <b/>
      <sz val="11"/>
      <color rgb="FF9C0006"/>
      <name val="Calibri"/>
    </font>
    <font>
      <b/>
      <sz val="11"/>
      <color rgb="FF006100"/>
      <name val="Calibri"/>
    </font>
    <font>
      <sz val="10"/>
      <color rgb="FF002060"/>
      <name val="Calibri"/>
    </font>
    <font>
      <sz val="10"/>
      <color rgb="FF000000"/>
      <name val="Arial"/>
    </font>
    <font>
      <b/>
      <sz val="16"/>
      <color theme="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44546A"/>
      <name val="Calibri"/>
    </font>
    <font>
      <b/>
      <sz val="12"/>
      <color theme="0"/>
      <name val="Calibri"/>
    </font>
    <font>
      <sz val="16"/>
      <color rgb="FF000000"/>
      <name val="Calibri"/>
    </font>
    <font>
      <sz val="10"/>
      <name val="Calibri"/>
    </font>
    <font>
      <sz val="10"/>
      <color rgb="FF3F3F3F"/>
      <name val="Calibri"/>
    </font>
    <font>
      <i/>
      <sz val="10"/>
      <color rgb="FF000000"/>
      <name val="Calibri"/>
    </font>
    <font>
      <i/>
      <sz val="10"/>
      <color rgb="FFFF0000"/>
      <name val="Calibri"/>
    </font>
    <font>
      <i/>
      <sz val="10"/>
      <color theme="1"/>
      <name val="Calibri"/>
    </font>
    <font>
      <sz val="10"/>
      <color theme="9"/>
      <name val="Calibri"/>
    </font>
    <font>
      <b/>
      <sz val="11"/>
      <color theme="0"/>
      <name val="Calibri"/>
    </font>
    <font>
      <b/>
      <sz val="12"/>
      <color rgb="FF000000"/>
      <name val="Calibri"/>
    </font>
    <font>
      <b/>
      <u/>
      <sz val="11"/>
      <color rgb="FF000000"/>
      <name val="Calibri"/>
    </font>
    <font>
      <sz val="12"/>
      <color rgb="FF000000"/>
      <name val="Calibri"/>
    </font>
    <font>
      <u/>
      <sz val="11"/>
      <color rgb="FF1155CC"/>
      <name val="Calibri"/>
    </font>
    <font>
      <i/>
      <sz val="11"/>
      <color rgb="FF980000"/>
      <name val="Calibri"/>
    </font>
    <font>
      <b/>
      <sz val="14"/>
      <color rgb="FF000000"/>
      <name val="Calibri"/>
    </font>
    <font>
      <sz val="11"/>
      <color rgb="FFD8D8D8"/>
      <name val="Calibri"/>
    </font>
    <font>
      <b/>
      <sz val="10"/>
      <color rgb="FF000000"/>
      <name val="Arial"/>
    </font>
    <font>
      <b/>
      <sz val="11"/>
      <color rgb="FFFFFFFF"/>
      <name val="Calibri"/>
    </font>
    <font>
      <b/>
      <sz val="14"/>
      <color rgb="FF000000"/>
      <name val="Arial"/>
    </font>
    <font>
      <sz val="10"/>
      <color rgb="FFFF0000"/>
      <name val="Arial"/>
    </font>
    <font>
      <u/>
      <sz val="10"/>
      <color rgb="FF000000"/>
      <name val="Calibri"/>
    </font>
    <font>
      <b/>
      <sz val="10"/>
      <color theme="1"/>
      <name val="Arial"/>
    </font>
    <font>
      <sz val="10"/>
      <color theme="1"/>
      <name val="Arial"/>
    </font>
    <font>
      <b/>
      <i/>
      <u/>
      <sz val="10"/>
      <color rgb="FF000000"/>
      <name val="Arial"/>
    </font>
  </fonts>
  <fills count="33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theme="7"/>
        <bgColor theme="7"/>
      </patternFill>
    </fill>
    <fill>
      <patternFill patternType="solid">
        <fgColor rgb="FFFF0000"/>
        <bgColor rgb="FFFF0000"/>
      </patternFill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rgb="FFD6E3BC"/>
        <bgColor rgb="FFD6E3BC"/>
      </patternFill>
    </fill>
    <fill>
      <patternFill patternType="solid">
        <fgColor rgb="FFCCC0D9"/>
        <bgColor rgb="FFCCC0D9"/>
      </patternFill>
    </fill>
    <fill>
      <patternFill patternType="solid">
        <fgColor rgb="FFF2DBDB"/>
        <bgColor rgb="FFF2DBDB"/>
      </patternFill>
    </fill>
    <fill>
      <patternFill patternType="solid">
        <fgColor rgb="FF8DB3E2"/>
        <bgColor rgb="FF8DB3E2"/>
      </patternFill>
    </fill>
    <fill>
      <patternFill patternType="solid">
        <fgColor rgb="FFA5A5A5"/>
        <bgColor rgb="FFA5A5A5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rgb="FFDDD9C3"/>
        <bgColor rgb="FFDDD9C3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C4BD97"/>
        <bgColor rgb="FFC4BD97"/>
      </patternFill>
    </fill>
    <fill>
      <patternFill patternType="solid">
        <fgColor rgb="FF008000"/>
        <bgColor rgb="FF008000"/>
      </patternFill>
    </fill>
    <fill>
      <patternFill patternType="solid">
        <fgColor rgb="FFFFC000"/>
        <bgColor rgb="FFFFC000"/>
      </patternFill>
    </fill>
    <fill>
      <patternFill patternType="solid">
        <fgColor rgb="FFF8CBAD"/>
        <bgColor rgb="FFF8CBAD"/>
      </patternFill>
    </fill>
    <fill>
      <patternFill patternType="solid">
        <fgColor rgb="FFEDEDED"/>
        <bgColor rgb="FFEDEDED"/>
      </patternFill>
    </fill>
    <fill>
      <patternFill patternType="solid">
        <fgColor rgb="FF548DD4"/>
        <bgColor rgb="FF548DD4"/>
      </patternFill>
    </fill>
    <fill>
      <patternFill patternType="solid">
        <fgColor rgb="FFFFFF00"/>
        <bgColor rgb="FFFFFF00"/>
      </patternFill>
    </fill>
    <fill>
      <patternFill patternType="solid">
        <fgColor rgb="FFA9D18E"/>
        <bgColor rgb="FFA9D18E"/>
      </patternFill>
    </fill>
  </fills>
  <borders count="9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2C2C2"/>
      </right>
      <top style="thin">
        <color rgb="FFC2C2C2"/>
      </top>
      <bottom style="thin">
        <color rgb="FFC2C2C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/>
      <top/>
      <bottom style="thin">
        <color rgb="FF000000"/>
      </bottom>
      <diagonal/>
    </border>
    <border>
      <left/>
      <right style="thin">
        <color theme="1"/>
      </right>
      <top/>
      <bottom style="thin">
        <color rgb="FF00000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4">
    <xf numFmtId="0" fontId="0" fillId="0" borderId="0" xfId="0" applyFont="1" applyAlignment="1"/>
    <xf numFmtId="0" fontId="1" fillId="2" borderId="1" xfId="0" applyFont="1" applyFill="1" applyBorder="1"/>
    <xf numFmtId="164" fontId="2" fillId="2" borderId="1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" fillId="0" borderId="0" xfId="0" applyFont="1"/>
    <xf numFmtId="0" fontId="1" fillId="4" borderId="1" xfId="0" applyFont="1" applyFill="1" applyBorder="1"/>
    <xf numFmtId="164" fontId="6" fillId="3" borderId="6" xfId="0" applyNumberFormat="1" applyFont="1" applyFill="1" applyBorder="1" applyAlignment="1">
      <alignment wrapText="1"/>
    </xf>
    <xf numFmtId="164" fontId="6" fillId="3" borderId="7" xfId="0" applyNumberFormat="1" applyFont="1" applyFill="1" applyBorder="1" applyAlignment="1">
      <alignment wrapText="1"/>
    </xf>
    <xf numFmtId="164" fontId="6" fillId="3" borderId="8" xfId="0" applyNumberFormat="1" applyFont="1" applyFill="1" applyBorder="1" applyAlignment="1">
      <alignment wrapText="1"/>
    </xf>
    <xf numFmtId="165" fontId="3" fillId="3" borderId="7" xfId="0" applyNumberFormat="1" applyFont="1" applyFill="1" applyBorder="1" applyAlignment="1">
      <alignment wrapText="1"/>
    </xf>
    <xf numFmtId="164" fontId="6" fillId="3" borderId="2" xfId="0" applyNumberFormat="1" applyFont="1" applyFill="1" applyBorder="1" applyAlignment="1">
      <alignment wrapText="1"/>
    </xf>
    <xf numFmtId="3" fontId="7" fillId="0" borderId="9" xfId="0" applyNumberFormat="1" applyFont="1" applyBorder="1"/>
    <xf numFmtId="3" fontId="8" fillId="5" borderId="10" xfId="0" applyNumberFormat="1" applyFont="1" applyFill="1" applyBorder="1" applyAlignment="1">
      <alignment horizontal="right"/>
    </xf>
    <xf numFmtId="165" fontId="1" fillId="0" borderId="0" xfId="0" applyNumberFormat="1" applyFont="1"/>
    <xf numFmtId="3" fontId="1" fillId="0" borderId="10" xfId="0" applyNumberFormat="1" applyFont="1" applyBorder="1" applyAlignment="1">
      <alignment horizontal="right"/>
    </xf>
    <xf numFmtId="3" fontId="8" fillId="5" borderId="5" xfId="0" applyNumberFormat="1" applyFont="1" applyFill="1" applyBorder="1" applyAlignment="1">
      <alignment horizontal="right"/>
    </xf>
    <xf numFmtId="3" fontId="1" fillId="5" borderId="1" xfId="0" applyNumberFormat="1" applyFont="1" applyFill="1" applyBorder="1"/>
    <xf numFmtId="3" fontId="1" fillId="5" borderId="11" xfId="0" applyNumberFormat="1" applyFont="1" applyFill="1" applyBorder="1"/>
    <xf numFmtId="3" fontId="1" fillId="0" borderId="0" xfId="0" applyNumberFormat="1" applyFont="1"/>
    <xf numFmtId="0" fontId="8" fillId="0" borderId="0" xfId="0" applyFont="1"/>
    <xf numFmtId="3" fontId="8" fillId="0" borderId="9" xfId="0" applyNumberFormat="1" applyFont="1" applyBorder="1"/>
    <xf numFmtId="3" fontId="8" fillId="0" borderId="10" xfId="0" applyNumberFormat="1" applyFont="1" applyBorder="1" applyAlignment="1">
      <alignment horizontal="right"/>
    </xf>
    <xf numFmtId="3" fontId="8" fillId="5" borderId="11" xfId="0" applyNumberFormat="1" applyFont="1" applyFill="1" applyBorder="1" applyAlignment="1">
      <alignment horizontal="right"/>
    </xf>
    <xf numFmtId="0" fontId="6" fillId="0" borderId="0" xfId="0" applyFont="1"/>
    <xf numFmtId="3" fontId="3" fillId="0" borderId="9" xfId="0" applyNumberFormat="1" applyFont="1" applyBorder="1"/>
    <xf numFmtId="3" fontId="3" fillId="5" borderId="10" xfId="0" applyNumberFormat="1" applyFont="1" applyFill="1" applyBorder="1"/>
    <xf numFmtId="165" fontId="3" fillId="0" borderId="9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3" fillId="5" borderId="11" xfId="0" applyNumberFormat="1" applyFont="1" applyFill="1" applyBorder="1"/>
    <xf numFmtId="3" fontId="6" fillId="5" borderId="1" xfId="0" applyNumberFormat="1" applyFont="1" applyFill="1" applyBorder="1"/>
    <xf numFmtId="3" fontId="6" fillId="5" borderId="11" xfId="0" applyNumberFormat="1" applyFont="1" applyFill="1" applyBorder="1"/>
    <xf numFmtId="165" fontId="1" fillId="5" borderId="1" xfId="0" applyNumberFormat="1" applyFont="1" applyFill="1" applyBorder="1"/>
    <xf numFmtId="165" fontId="1" fillId="5" borderId="11" xfId="0" applyNumberFormat="1" applyFont="1" applyFill="1" applyBorder="1"/>
    <xf numFmtId="0" fontId="9" fillId="0" borderId="0" xfId="0" applyFont="1"/>
    <xf numFmtId="0" fontId="1" fillId="0" borderId="0" xfId="0" applyFont="1" applyAlignment="1">
      <alignment horizontal="left"/>
    </xf>
    <xf numFmtId="3" fontId="10" fillId="0" borderId="9" xfId="0" applyNumberFormat="1" applyFont="1" applyBorder="1"/>
    <xf numFmtId="0" fontId="8" fillId="0" borderId="0" xfId="0" applyFont="1" applyAlignment="1">
      <alignment horizontal="left" wrapText="1"/>
    </xf>
    <xf numFmtId="3" fontId="8" fillId="5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3" fontId="8" fillId="5" borderId="11" xfId="0" applyNumberFormat="1" applyFont="1" applyFill="1" applyBorder="1" applyAlignment="1">
      <alignment horizontal="right" wrapText="1"/>
    </xf>
    <xf numFmtId="165" fontId="1" fillId="5" borderId="10" xfId="0" applyNumberFormat="1" applyFont="1" applyFill="1" applyBorder="1"/>
    <xf numFmtId="165" fontId="8" fillId="0" borderId="0" xfId="0" applyNumberFormat="1" applyFont="1" applyAlignment="1">
      <alignment horizontal="right"/>
    </xf>
    <xf numFmtId="165" fontId="1" fillId="5" borderId="10" xfId="0" applyNumberFormat="1" applyFont="1" applyFill="1" applyBorder="1" applyAlignment="1">
      <alignment horizontal="left"/>
    </xf>
    <xf numFmtId="165" fontId="1" fillId="5" borderId="11" xfId="0" applyNumberFormat="1" applyFont="1" applyFill="1" applyBorder="1" applyAlignment="1">
      <alignment horizontal="left"/>
    </xf>
    <xf numFmtId="3" fontId="11" fillId="0" borderId="12" xfId="0" applyNumberFormat="1" applyFont="1" applyBorder="1"/>
    <xf numFmtId="3" fontId="3" fillId="5" borderId="13" xfId="0" applyNumberFormat="1" applyFont="1" applyFill="1" applyBorder="1"/>
    <xf numFmtId="165" fontId="3" fillId="0" borderId="12" xfId="0" applyNumberFormat="1" applyFont="1" applyBorder="1"/>
    <xf numFmtId="3" fontId="6" fillId="0" borderId="13" xfId="0" applyNumberFormat="1" applyFont="1" applyBorder="1" applyAlignment="1">
      <alignment horizontal="right"/>
    </xf>
    <xf numFmtId="3" fontId="3" fillId="5" borderId="14" xfId="0" applyNumberFormat="1" applyFont="1" applyFill="1" applyBorder="1"/>
    <xf numFmtId="165" fontId="6" fillId="5" borderId="1" xfId="0" applyNumberFormat="1" applyFont="1" applyFill="1" applyBorder="1"/>
    <xf numFmtId="165" fontId="6" fillId="5" borderId="11" xfId="0" applyNumberFormat="1" applyFont="1" applyFill="1" applyBorder="1"/>
    <xf numFmtId="165" fontId="11" fillId="3" borderId="2" xfId="0" applyNumberFormat="1" applyFont="1" applyFill="1" applyBorder="1" applyAlignment="1">
      <alignment wrapText="1"/>
    </xf>
    <xf numFmtId="165" fontId="3" fillId="3" borderId="15" xfId="0" applyNumberFormat="1" applyFont="1" applyFill="1" applyBorder="1" applyAlignment="1">
      <alignment wrapText="1"/>
    </xf>
    <xf numFmtId="165" fontId="3" fillId="3" borderId="2" xfId="0" applyNumberFormat="1" applyFont="1" applyFill="1" applyBorder="1" applyAlignment="1">
      <alignment wrapText="1"/>
    </xf>
    <xf numFmtId="165" fontId="6" fillId="3" borderId="16" xfId="0" applyNumberFormat="1" applyFont="1" applyFill="1" applyBorder="1" applyAlignment="1">
      <alignment horizontal="right" wrapText="1"/>
    </xf>
    <xf numFmtId="165" fontId="6" fillId="3" borderId="7" xfId="0" applyNumberFormat="1" applyFont="1" applyFill="1" applyBorder="1" applyAlignment="1">
      <alignment wrapText="1"/>
    </xf>
    <xf numFmtId="165" fontId="6" fillId="3" borderId="2" xfId="0" applyNumberFormat="1" applyFont="1" applyFill="1" applyBorder="1" applyAlignment="1">
      <alignment wrapText="1"/>
    </xf>
    <xf numFmtId="164" fontId="1" fillId="0" borderId="0" xfId="0" applyNumberFormat="1" applyFont="1"/>
    <xf numFmtId="3" fontId="8" fillId="0" borderId="10" xfId="0" applyNumberFormat="1" applyFont="1" applyBorder="1"/>
    <xf numFmtId="165" fontId="1" fillId="0" borderId="10" xfId="0" applyNumberFormat="1" applyFont="1" applyBorder="1"/>
    <xf numFmtId="165" fontId="8" fillId="0" borderId="10" xfId="0" applyNumberFormat="1" applyFont="1" applyBorder="1" applyAlignment="1">
      <alignment horizontal="right"/>
    </xf>
    <xf numFmtId="165" fontId="1" fillId="0" borderId="9" xfId="0" applyNumberFormat="1" applyFont="1" applyBorder="1"/>
    <xf numFmtId="165" fontId="6" fillId="3" borderId="8" xfId="0" applyNumberFormat="1" applyFont="1" applyFill="1" applyBorder="1" applyAlignment="1">
      <alignment wrapText="1"/>
    </xf>
    <xf numFmtId="165" fontId="3" fillId="3" borderId="6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6" fontId="1" fillId="0" borderId="0" xfId="0" applyNumberFormat="1" applyFont="1"/>
    <xf numFmtId="165" fontId="3" fillId="0" borderId="10" xfId="0" applyNumberFormat="1" applyFont="1" applyBorder="1"/>
    <xf numFmtId="0" fontId="1" fillId="0" borderId="17" xfId="0" applyFont="1" applyBorder="1" applyAlignment="1">
      <alignment vertical="top"/>
    </xf>
    <xf numFmtId="165" fontId="3" fillId="0" borderId="10" xfId="0" applyNumberFormat="1" applyFont="1" applyBorder="1" applyAlignment="1">
      <alignment horizontal="right"/>
    </xf>
    <xf numFmtId="0" fontId="6" fillId="4" borderId="1" xfId="0" applyFont="1" applyFill="1" applyBorder="1"/>
    <xf numFmtId="0" fontId="12" fillId="0" borderId="17" xfId="0" applyFont="1" applyBorder="1" applyAlignment="1">
      <alignment horizontal="right" vertical="top"/>
    </xf>
    <xf numFmtId="0" fontId="12" fillId="0" borderId="17" xfId="0" applyFont="1" applyBorder="1" applyAlignment="1">
      <alignment horizontal="left" vertical="top"/>
    </xf>
    <xf numFmtId="3" fontId="1" fillId="0" borderId="10" xfId="0" applyNumberFormat="1" applyFont="1" applyBorder="1"/>
    <xf numFmtId="165" fontId="8" fillId="5" borderId="10" xfId="0" applyNumberFormat="1" applyFont="1" applyFill="1" applyBorder="1"/>
    <xf numFmtId="165" fontId="8" fillId="5" borderId="11" xfId="0" applyNumberFormat="1" applyFont="1" applyFill="1" applyBorder="1"/>
    <xf numFmtId="0" fontId="13" fillId="0" borderId="0" xfId="0" applyFont="1"/>
    <xf numFmtId="165" fontId="8" fillId="5" borderId="1" xfId="0" applyNumberFormat="1" applyFont="1" applyFill="1" applyBorder="1"/>
    <xf numFmtId="164" fontId="6" fillId="3" borderId="3" xfId="0" applyNumberFormat="1" applyFont="1" applyFill="1" applyBorder="1" applyAlignment="1">
      <alignment wrapText="1"/>
    </xf>
    <xf numFmtId="165" fontId="3" fillId="3" borderId="18" xfId="0" applyNumberFormat="1" applyFont="1" applyFill="1" applyBorder="1" applyAlignment="1">
      <alignment wrapText="1"/>
    </xf>
    <xf numFmtId="165" fontId="6" fillId="3" borderId="19" xfId="0" applyNumberFormat="1" applyFont="1" applyFill="1" applyBorder="1" applyAlignment="1">
      <alignment horizontal="right" wrapText="1"/>
    </xf>
    <xf numFmtId="165" fontId="3" fillId="3" borderId="5" xfId="0" applyNumberFormat="1" applyFont="1" applyFill="1" applyBorder="1" applyAlignment="1">
      <alignment wrapText="1"/>
    </xf>
    <xf numFmtId="165" fontId="6" fillId="3" borderId="3" xfId="0" applyNumberFormat="1" applyFont="1" applyFill="1" applyBorder="1" applyAlignment="1">
      <alignment wrapText="1"/>
    </xf>
    <xf numFmtId="165" fontId="6" fillId="3" borderId="5" xfId="0" applyNumberFormat="1" applyFont="1" applyFill="1" applyBorder="1" applyAlignment="1">
      <alignment wrapText="1"/>
    </xf>
    <xf numFmtId="0" fontId="1" fillId="0" borderId="20" xfId="0" applyFont="1" applyBorder="1"/>
    <xf numFmtId="3" fontId="8" fillId="0" borderId="20" xfId="0" applyNumberFormat="1" applyFont="1" applyBorder="1"/>
    <xf numFmtId="165" fontId="1" fillId="0" borderId="20" xfId="0" applyNumberFormat="1" applyFont="1" applyBorder="1"/>
    <xf numFmtId="3" fontId="1" fillId="0" borderId="20" xfId="0" applyNumberFormat="1" applyFont="1" applyBorder="1" applyAlignment="1">
      <alignment horizontal="right"/>
    </xf>
    <xf numFmtId="164" fontId="5" fillId="2" borderId="6" xfId="0" applyNumberFormat="1" applyFont="1" applyFill="1" applyBorder="1" applyAlignment="1">
      <alignment wrapText="1"/>
    </xf>
    <xf numFmtId="164" fontId="5" fillId="2" borderId="21" xfId="0" applyNumberFormat="1" applyFont="1" applyFill="1" applyBorder="1" applyAlignment="1">
      <alignment wrapText="1"/>
    </xf>
    <xf numFmtId="165" fontId="14" fillId="6" borderId="2" xfId="0" applyNumberFormat="1" applyFont="1" applyFill="1" applyBorder="1" applyAlignment="1">
      <alignment wrapText="1"/>
    </xf>
    <xf numFmtId="165" fontId="15" fillId="6" borderId="22" xfId="0" applyNumberFormat="1" applyFont="1" applyFill="1" applyBorder="1" applyAlignment="1">
      <alignment horizontal="right" wrapText="1"/>
    </xf>
    <xf numFmtId="165" fontId="14" fillId="6" borderId="14" xfId="0" applyNumberFormat="1" applyFont="1" applyFill="1" applyBorder="1" applyAlignment="1">
      <alignment wrapText="1"/>
    </xf>
    <xf numFmtId="165" fontId="16" fillId="7" borderId="21" xfId="0" applyNumberFormat="1" applyFont="1" applyFill="1" applyBorder="1" applyAlignment="1">
      <alignment wrapText="1"/>
    </xf>
    <xf numFmtId="165" fontId="16" fillId="7" borderId="2" xfId="0" applyNumberFormat="1" applyFont="1" applyFill="1" applyBorder="1" applyAlignment="1">
      <alignment wrapText="1"/>
    </xf>
    <xf numFmtId="3" fontId="3" fillId="0" borderId="10" xfId="0" applyNumberFormat="1" applyFont="1" applyBorder="1"/>
    <xf numFmtId="165" fontId="6" fillId="5" borderId="10" xfId="0" applyNumberFormat="1" applyFont="1" applyFill="1" applyBorder="1"/>
    <xf numFmtId="0" fontId="8" fillId="0" borderId="9" xfId="0" applyFont="1" applyBorder="1"/>
    <xf numFmtId="0" fontId="1" fillId="0" borderId="10" xfId="0" applyFont="1" applyBorder="1" applyAlignment="1">
      <alignment horizontal="right"/>
    </xf>
    <xf numFmtId="0" fontId="17" fillId="0" borderId="0" xfId="0" applyFont="1"/>
    <xf numFmtId="167" fontId="1" fillId="5" borderId="1" xfId="0" applyNumberFormat="1" applyFont="1" applyFill="1" applyBorder="1"/>
    <xf numFmtId="167" fontId="1" fillId="5" borderId="11" xfId="0" applyNumberFormat="1" applyFont="1" applyFill="1" applyBorder="1"/>
    <xf numFmtId="165" fontId="6" fillId="5" borderId="21" xfId="0" applyNumberFormat="1" applyFont="1" applyFill="1" applyBorder="1"/>
    <xf numFmtId="165" fontId="6" fillId="5" borderId="14" xfId="0" applyNumberFormat="1" applyFont="1" applyFill="1" applyBorder="1"/>
    <xf numFmtId="164" fontId="5" fillId="2" borderId="7" xfId="0" applyNumberFormat="1" applyFont="1" applyFill="1" applyBorder="1" applyAlignment="1">
      <alignment wrapText="1"/>
    </xf>
    <xf numFmtId="165" fontId="14" fillId="6" borderId="6" xfId="0" applyNumberFormat="1" applyFont="1" applyFill="1" applyBorder="1" applyAlignment="1">
      <alignment wrapText="1"/>
    </xf>
    <xf numFmtId="165" fontId="16" fillId="7" borderId="7" xfId="0" applyNumberFormat="1" applyFont="1" applyFill="1" applyBorder="1" applyAlignment="1">
      <alignment wrapText="1"/>
    </xf>
    <xf numFmtId="165" fontId="8" fillId="0" borderId="10" xfId="0" applyNumberFormat="1" applyFont="1" applyBorder="1"/>
    <xf numFmtId="0" fontId="3" fillId="0" borderId="9" xfId="0" applyFont="1" applyBorder="1"/>
    <xf numFmtId="165" fontId="6" fillId="0" borderId="10" xfId="0" applyNumberFormat="1" applyFont="1" applyBorder="1"/>
    <xf numFmtId="0" fontId="6" fillId="5" borderId="1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165" fontId="5" fillId="2" borderId="6" xfId="0" applyNumberFormat="1" applyFont="1" applyFill="1" applyBorder="1" applyAlignment="1">
      <alignment wrapText="1"/>
    </xf>
    <xf numFmtId="4" fontId="8" fillId="0" borderId="0" xfId="0" applyNumberFormat="1" applyFont="1"/>
    <xf numFmtId="0" fontId="18" fillId="0" borderId="0" xfId="0" applyFont="1"/>
    <xf numFmtId="165" fontId="19" fillId="2" borderId="19" xfId="0" applyNumberFormat="1" applyFont="1" applyFill="1" applyBorder="1" applyAlignment="1">
      <alignment vertical="center" wrapText="1"/>
    </xf>
    <xf numFmtId="165" fontId="18" fillId="0" borderId="0" xfId="0" applyNumberFormat="1" applyFont="1"/>
    <xf numFmtId="164" fontId="6" fillId="3" borderId="19" xfId="0" applyNumberFormat="1" applyFont="1" applyFill="1" applyBorder="1" applyAlignment="1">
      <alignment wrapText="1"/>
    </xf>
    <xf numFmtId="165" fontId="6" fillId="8" borderId="2" xfId="0" applyNumberFormat="1" applyFont="1" applyFill="1" applyBorder="1" applyAlignment="1">
      <alignment wrapText="1"/>
    </xf>
    <xf numFmtId="165" fontId="6" fillId="9" borderId="19" xfId="0" applyNumberFormat="1" applyFont="1" applyFill="1" applyBorder="1" applyAlignment="1">
      <alignment wrapText="1"/>
    </xf>
    <xf numFmtId="165" fontId="6" fillId="10" borderId="19" xfId="0" applyNumberFormat="1" applyFont="1" applyFill="1" applyBorder="1" applyAlignment="1">
      <alignment wrapText="1"/>
    </xf>
    <xf numFmtId="165" fontId="6" fillId="11" borderId="5" xfId="0" applyNumberFormat="1" applyFont="1" applyFill="1" applyBorder="1" applyAlignment="1">
      <alignment wrapText="1"/>
    </xf>
    <xf numFmtId="0" fontId="20" fillId="0" borderId="0" xfId="0" applyFont="1"/>
    <xf numFmtId="165" fontId="5" fillId="2" borderId="19" xfId="0" applyNumberFormat="1" applyFont="1" applyFill="1" applyBorder="1" applyAlignment="1">
      <alignment vertical="center" wrapText="1"/>
    </xf>
    <xf numFmtId="165" fontId="19" fillId="2" borderId="4" xfId="0" applyNumberFormat="1" applyFont="1" applyFill="1" applyBorder="1" applyAlignment="1">
      <alignment vertical="center" wrapText="1"/>
    </xf>
    <xf numFmtId="165" fontId="19" fillId="2" borderId="3" xfId="0" applyNumberFormat="1" applyFont="1" applyFill="1" applyBorder="1" applyAlignment="1">
      <alignment vertical="center" wrapText="1"/>
    </xf>
    <xf numFmtId="165" fontId="19" fillId="2" borderId="5" xfId="0" applyNumberFormat="1" applyFont="1" applyFill="1" applyBorder="1" applyAlignment="1">
      <alignment vertical="center" wrapText="1"/>
    </xf>
    <xf numFmtId="167" fontId="20" fillId="0" borderId="0" xfId="0" applyNumberFormat="1" applyFont="1"/>
    <xf numFmtId="165" fontId="20" fillId="12" borderId="11" xfId="0" applyNumberFormat="1" applyFont="1" applyFill="1" applyBorder="1"/>
    <xf numFmtId="165" fontId="21" fillId="13" borderId="23" xfId="0" applyNumberFormat="1" applyFont="1" applyFill="1" applyBorder="1"/>
    <xf numFmtId="165" fontId="20" fillId="14" borderId="11" xfId="0" applyNumberFormat="1" applyFont="1" applyFill="1" applyBorder="1"/>
    <xf numFmtId="165" fontId="20" fillId="15" borderId="11" xfId="0" applyNumberFormat="1" applyFont="1" applyFill="1" applyBorder="1"/>
    <xf numFmtId="165" fontId="20" fillId="16" borderId="11" xfId="0" applyNumberFormat="1" applyFont="1" applyFill="1" applyBorder="1"/>
    <xf numFmtId="165" fontId="21" fillId="14" borderId="11" xfId="0" applyNumberFormat="1" applyFont="1" applyFill="1" applyBorder="1"/>
    <xf numFmtId="165" fontId="21" fillId="12" borderId="11" xfId="0" applyNumberFormat="1" applyFont="1" applyFill="1" applyBorder="1"/>
    <xf numFmtId="165" fontId="22" fillId="3" borderId="6" xfId="0" applyNumberFormat="1" applyFont="1" applyFill="1" applyBorder="1" applyAlignment="1">
      <alignment wrapText="1"/>
    </xf>
    <xf numFmtId="165" fontId="6" fillId="5" borderId="6" xfId="0" applyNumberFormat="1" applyFont="1" applyFill="1" applyBorder="1" applyAlignment="1">
      <alignment wrapText="1"/>
    </xf>
    <xf numFmtId="0" fontId="23" fillId="0" borderId="0" xfId="0" applyFont="1"/>
    <xf numFmtId="165" fontId="23" fillId="0" borderId="0" xfId="0" applyNumberFormat="1" applyFont="1"/>
    <xf numFmtId="165" fontId="20" fillId="13" borderId="23" xfId="0" applyNumberFormat="1" applyFont="1" applyFill="1" applyBorder="1"/>
    <xf numFmtId="0" fontId="7" fillId="0" borderId="0" xfId="0" applyFont="1"/>
    <xf numFmtId="164" fontId="22" fillId="3" borderId="7" xfId="0" applyNumberFormat="1" applyFont="1" applyFill="1" applyBorder="1" applyAlignment="1">
      <alignment wrapText="1"/>
    </xf>
    <xf numFmtId="165" fontId="22" fillId="3" borderId="2" xfId="0" applyNumberFormat="1" applyFont="1" applyFill="1" applyBorder="1" applyAlignment="1">
      <alignment wrapText="1"/>
    </xf>
    <xf numFmtId="165" fontId="6" fillId="5" borderId="7" xfId="0" applyNumberFormat="1" applyFont="1" applyFill="1" applyBorder="1" applyAlignment="1">
      <alignment wrapText="1"/>
    </xf>
    <xf numFmtId="165" fontId="6" fillId="5" borderId="2" xfId="0" applyNumberFormat="1" applyFont="1" applyFill="1" applyBorder="1" applyAlignment="1">
      <alignment wrapText="1"/>
    </xf>
    <xf numFmtId="165" fontId="20" fillId="0" borderId="0" xfId="0" applyNumberFormat="1" applyFont="1"/>
    <xf numFmtId="165" fontId="5" fillId="2" borderId="6" xfId="0" applyNumberFormat="1" applyFont="1" applyFill="1" applyBorder="1" applyAlignment="1">
      <alignment vertical="center" wrapText="1"/>
    </xf>
    <xf numFmtId="165" fontId="19" fillId="2" borderId="16" xfId="0" applyNumberFormat="1" applyFont="1" applyFill="1" applyBorder="1" applyAlignment="1">
      <alignment vertical="center" wrapText="1"/>
    </xf>
    <xf numFmtId="165" fontId="19" fillId="2" borderId="6" xfId="0" applyNumberFormat="1" applyFont="1" applyFill="1" applyBorder="1" applyAlignment="1">
      <alignment vertical="center" wrapText="1"/>
    </xf>
    <xf numFmtId="165" fontId="19" fillId="2" borderId="7" xfId="0" applyNumberFormat="1" applyFont="1" applyFill="1" applyBorder="1" applyAlignment="1">
      <alignment vertical="center" wrapText="1"/>
    </xf>
    <xf numFmtId="165" fontId="19" fillId="2" borderId="2" xfId="0" applyNumberFormat="1" applyFont="1" applyFill="1" applyBorder="1" applyAlignment="1">
      <alignment vertical="center" wrapText="1"/>
    </xf>
    <xf numFmtId="165" fontId="20" fillId="13" borderId="11" xfId="0" applyNumberFormat="1" applyFont="1" applyFill="1" applyBorder="1"/>
    <xf numFmtId="0" fontId="24" fillId="0" borderId="0" xfId="0" applyFont="1"/>
    <xf numFmtId="165" fontId="24" fillId="0" borderId="0" xfId="0" applyNumberFormat="1" applyFont="1"/>
    <xf numFmtId="168" fontId="20" fillId="0" borderId="0" xfId="0" applyNumberFormat="1" applyFont="1"/>
    <xf numFmtId="168" fontId="18" fillId="0" borderId="0" xfId="0" applyNumberFormat="1" applyFont="1"/>
    <xf numFmtId="0" fontId="22" fillId="0" borderId="0" xfId="0" applyFont="1"/>
    <xf numFmtId="165" fontId="22" fillId="16" borderId="11" xfId="0" applyNumberFormat="1" applyFont="1" applyFill="1" applyBorder="1"/>
    <xf numFmtId="164" fontId="6" fillId="0" borderId="20" xfId="0" applyNumberFormat="1" applyFon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6" fillId="0" borderId="20" xfId="0" applyNumberFormat="1" applyFont="1" applyBorder="1" applyAlignment="1">
      <alignment wrapText="1"/>
    </xf>
    <xf numFmtId="165" fontId="6" fillId="0" borderId="8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22" fillId="0" borderId="20" xfId="0" applyNumberFormat="1" applyFont="1" applyBorder="1" applyAlignment="1">
      <alignment wrapText="1"/>
    </xf>
    <xf numFmtId="165" fontId="25" fillId="2" borderId="7" xfId="0" applyNumberFormat="1" applyFont="1" applyFill="1" applyBorder="1" applyAlignment="1">
      <alignment vertical="center" wrapText="1"/>
    </xf>
    <xf numFmtId="165" fontId="25" fillId="2" borderId="6" xfId="0" applyNumberFormat="1" applyFont="1" applyFill="1" applyBorder="1" applyAlignment="1">
      <alignment vertical="center" wrapText="1"/>
    </xf>
    <xf numFmtId="165" fontId="20" fillId="12" borderId="5" xfId="0" applyNumberFormat="1" applyFont="1" applyFill="1" applyBorder="1"/>
    <xf numFmtId="0" fontId="26" fillId="0" borderId="0" xfId="0" applyFont="1"/>
    <xf numFmtId="165" fontId="22" fillId="0" borderId="0" xfId="0" applyNumberFormat="1" applyFont="1"/>
    <xf numFmtId="1" fontId="5" fillId="2" borderId="6" xfId="0" applyNumberFormat="1" applyFont="1" applyFill="1" applyBorder="1" applyAlignment="1">
      <alignment vertical="center" wrapText="1"/>
    </xf>
    <xf numFmtId="164" fontId="1" fillId="14" borderId="1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wrapText="1"/>
    </xf>
    <xf numFmtId="164" fontId="1" fillId="17" borderId="1" xfId="0" applyNumberFormat="1" applyFont="1" applyFill="1" applyBorder="1" applyAlignment="1">
      <alignment vertical="center" wrapText="1"/>
    </xf>
    <xf numFmtId="164" fontId="6" fillId="4" borderId="19" xfId="0" applyNumberFormat="1" applyFont="1" applyFill="1" applyBorder="1" applyAlignment="1">
      <alignment wrapText="1"/>
    </xf>
    <xf numFmtId="164" fontId="1" fillId="4" borderId="4" xfId="0" applyNumberFormat="1" applyFont="1" applyFill="1" applyBorder="1"/>
    <xf numFmtId="164" fontId="1" fillId="4" borderId="24" xfId="0" applyNumberFormat="1" applyFont="1" applyFill="1" applyBorder="1" applyAlignment="1">
      <alignment wrapText="1"/>
    </xf>
    <xf numFmtId="164" fontId="8" fillId="14" borderId="23" xfId="0" applyNumberFormat="1" applyFont="1" applyFill="1" applyBorder="1"/>
    <xf numFmtId="164" fontId="1" fillId="4" borderId="22" xfId="0" applyNumberFormat="1" applyFont="1" applyFill="1" applyBorder="1" applyAlignment="1">
      <alignment wrapText="1"/>
    </xf>
    <xf numFmtId="164" fontId="8" fillId="14" borderId="25" xfId="0" applyNumberFormat="1" applyFont="1" applyFill="1" applyBorder="1"/>
    <xf numFmtId="164" fontId="2" fillId="2" borderId="24" xfId="0" applyNumberFormat="1" applyFont="1" applyFill="1" applyBorder="1" applyAlignment="1">
      <alignment wrapText="1"/>
    </xf>
    <xf numFmtId="164" fontId="5" fillId="2" borderId="24" xfId="0" applyNumberFormat="1" applyFont="1" applyFill="1" applyBorder="1" applyAlignment="1">
      <alignment wrapText="1"/>
    </xf>
    <xf numFmtId="0" fontId="5" fillId="2" borderId="3" xfId="0" applyFont="1" applyFill="1" applyBorder="1"/>
    <xf numFmtId="164" fontId="5" fillId="2" borderId="4" xfId="0" applyNumberFormat="1" applyFont="1" applyFill="1" applyBorder="1" applyAlignment="1">
      <alignment wrapText="1"/>
    </xf>
    <xf numFmtId="164" fontId="6" fillId="18" borderId="6" xfId="0" applyNumberFormat="1" applyFont="1" applyFill="1" applyBorder="1"/>
    <xf numFmtId="164" fontId="6" fillId="18" borderId="7" xfId="0" applyNumberFormat="1" applyFont="1" applyFill="1" applyBorder="1"/>
    <xf numFmtId="164" fontId="6" fillId="18" borderId="16" xfId="0" applyNumberFormat="1" applyFont="1" applyFill="1" applyBorder="1"/>
    <xf numFmtId="164" fontId="5" fillId="18" borderId="2" xfId="0" applyNumberFormat="1" applyFont="1" applyFill="1" applyBorder="1" applyAlignment="1">
      <alignment wrapText="1"/>
    </xf>
    <xf numFmtId="164" fontId="5" fillId="18" borderId="16" xfId="0" applyNumberFormat="1" applyFont="1" applyFill="1" applyBorder="1" applyAlignment="1">
      <alignment wrapText="1"/>
    </xf>
    <xf numFmtId="0" fontId="6" fillId="5" borderId="22" xfId="0" applyFont="1" applyFill="1" applyBorder="1"/>
    <xf numFmtId="0" fontId="6" fillId="5" borderId="21" xfId="0" applyFont="1" applyFill="1" applyBorder="1"/>
    <xf numFmtId="0" fontId="6" fillId="5" borderId="25" xfId="0" applyFont="1" applyFill="1" applyBorder="1"/>
    <xf numFmtId="0" fontId="6" fillId="5" borderId="24" xfId="0" applyFont="1" applyFill="1" applyBorder="1"/>
    <xf numFmtId="0" fontId="6" fillId="5" borderId="23" xfId="0" applyFont="1" applyFill="1" applyBorder="1"/>
    <xf numFmtId="0" fontId="1" fillId="5" borderId="21" xfId="0" applyFont="1" applyFill="1" applyBorder="1"/>
    <xf numFmtId="0" fontId="1" fillId="5" borderId="1" xfId="0" applyFont="1" applyFill="1" applyBorder="1"/>
    <xf numFmtId="0" fontId="1" fillId="5" borderId="24" xfId="0" applyFont="1" applyFill="1" applyBorder="1"/>
    <xf numFmtId="0" fontId="6" fillId="5" borderId="1" xfId="0" applyFont="1" applyFill="1" applyBorder="1"/>
    <xf numFmtId="0" fontId="6" fillId="5" borderId="14" xfId="0" applyFont="1" applyFill="1" applyBorder="1"/>
    <xf numFmtId="0" fontId="8" fillId="0" borderId="10" xfId="0" applyFont="1" applyBorder="1"/>
    <xf numFmtId="165" fontId="8" fillId="0" borderId="0" xfId="0" applyNumberFormat="1" applyFont="1"/>
    <xf numFmtId="165" fontId="8" fillId="0" borderId="29" xfId="0" applyNumberFormat="1" applyFont="1" applyBorder="1"/>
    <xf numFmtId="165" fontId="1" fillId="0" borderId="30" xfId="0" applyNumberFormat="1" applyFont="1" applyBorder="1"/>
    <xf numFmtId="165" fontId="8" fillId="0" borderId="31" xfId="0" applyNumberFormat="1" applyFont="1" applyBorder="1"/>
    <xf numFmtId="165" fontId="1" fillId="0" borderId="29" xfId="0" applyNumberFormat="1" applyFont="1" applyBorder="1"/>
    <xf numFmtId="165" fontId="1" fillId="19" borderId="2" xfId="0" applyNumberFormat="1" applyFont="1" applyFill="1" applyBorder="1"/>
    <xf numFmtId="165" fontId="1" fillId="0" borderId="31" xfId="0" applyNumberFormat="1" applyFont="1" applyBorder="1"/>
    <xf numFmtId="165" fontId="1" fillId="19" borderId="3" xfId="0" applyNumberFormat="1" applyFont="1" applyFill="1" applyBorder="1"/>
    <xf numFmtId="165" fontId="8" fillId="19" borderId="5" xfId="0" applyNumberFormat="1" applyFont="1" applyFill="1" applyBorder="1"/>
    <xf numFmtId="165" fontId="1" fillId="12" borderId="4" xfId="0" applyNumberFormat="1" applyFont="1" applyFill="1" applyBorder="1"/>
    <xf numFmtId="165" fontId="7" fillId="14" borderId="19" xfId="0" applyNumberFormat="1" applyFont="1" applyFill="1" applyBorder="1"/>
    <xf numFmtId="165" fontId="7" fillId="0" borderId="10" xfId="0" applyNumberFormat="1" applyFont="1" applyBorder="1"/>
    <xf numFmtId="165" fontId="7" fillId="0" borderId="13" xfId="0" applyNumberFormat="1" applyFont="1" applyBorder="1"/>
    <xf numFmtId="165" fontId="7" fillId="0" borderId="0" xfId="0" applyNumberFormat="1" applyFont="1"/>
    <xf numFmtId="165" fontId="8" fillId="19" borderId="19" xfId="0" applyNumberFormat="1" applyFont="1" applyFill="1" applyBorder="1"/>
    <xf numFmtId="165" fontId="7" fillId="14" borderId="5" xfId="0" applyNumberFormat="1" applyFont="1" applyFill="1" applyBorder="1"/>
    <xf numFmtId="165" fontId="8" fillId="20" borderId="11" xfId="0" applyNumberFormat="1" applyFont="1" applyFill="1" applyBorder="1"/>
    <xf numFmtId="165" fontId="7" fillId="0" borderId="31" xfId="0" applyNumberFormat="1" applyFont="1" applyBorder="1"/>
    <xf numFmtId="165" fontId="7" fillId="0" borderId="32" xfId="0" applyNumberFormat="1" applyFont="1" applyBorder="1"/>
    <xf numFmtId="165" fontId="8" fillId="12" borderId="23" xfId="0" applyNumberFormat="1" applyFont="1" applyFill="1" applyBorder="1"/>
    <xf numFmtId="0" fontId="1" fillId="0" borderId="10" xfId="0" applyFont="1" applyBorder="1"/>
    <xf numFmtId="165" fontId="8" fillId="14" borderId="33" xfId="0" applyNumberFormat="1" applyFont="1" applyFill="1" applyBorder="1"/>
    <xf numFmtId="165" fontId="1" fillId="0" borderId="13" xfId="0" applyNumberFormat="1" applyFont="1" applyBorder="1"/>
    <xf numFmtId="165" fontId="8" fillId="19" borderId="33" xfId="0" applyNumberFormat="1" applyFont="1" applyFill="1" applyBorder="1"/>
    <xf numFmtId="165" fontId="1" fillId="14" borderId="9" xfId="0" applyNumberFormat="1" applyFont="1" applyFill="1" applyBorder="1"/>
    <xf numFmtId="165" fontId="1" fillId="19" borderId="34" xfId="0" applyNumberFormat="1" applyFont="1" applyFill="1" applyBorder="1"/>
    <xf numFmtId="165" fontId="1" fillId="12" borderId="23" xfId="0" applyNumberFormat="1" applyFont="1" applyFill="1" applyBorder="1"/>
    <xf numFmtId="165" fontId="8" fillId="14" borderId="24" xfId="0" applyNumberFormat="1" applyFont="1" applyFill="1" applyBorder="1"/>
    <xf numFmtId="165" fontId="8" fillId="19" borderId="24" xfId="0" applyNumberFormat="1" applyFont="1" applyFill="1" applyBorder="1"/>
    <xf numFmtId="165" fontId="1" fillId="14" borderId="14" xfId="0" applyNumberFormat="1" applyFont="1" applyFill="1" applyBorder="1"/>
    <xf numFmtId="165" fontId="1" fillId="19" borderId="11" xfId="0" applyNumberFormat="1" applyFont="1" applyFill="1" applyBorder="1"/>
    <xf numFmtId="165" fontId="1" fillId="0" borderId="35" xfId="0" applyNumberFormat="1" applyFont="1" applyBorder="1"/>
    <xf numFmtId="165" fontId="8" fillId="0" borderId="12" xfId="0" applyNumberFormat="1" applyFont="1" applyBorder="1"/>
    <xf numFmtId="165" fontId="8" fillId="19" borderId="2" xfId="0" applyNumberFormat="1" applyFont="1" applyFill="1" applyBorder="1"/>
    <xf numFmtId="165" fontId="8" fillId="19" borderId="14" xfId="0" applyNumberFormat="1" applyFont="1" applyFill="1" applyBorder="1"/>
    <xf numFmtId="165" fontId="8" fillId="19" borderId="1" xfId="0" applyNumberFormat="1" applyFont="1" applyFill="1" applyBorder="1"/>
    <xf numFmtId="165" fontId="7" fillId="19" borderId="11" xfId="0" applyNumberFormat="1" applyFont="1" applyFill="1" applyBorder="1"/>
    <xf numFmtId="165" fontId="28" fillId="12" borderId="23" xfId="0" applyNumberFormat="1" applyFont="1" applyFill="1" applyBorder="1"/>
    <xf numFmtId="165" fontId="8" fillId="14" borderId="22" xfId="0" applyNumberFormat="1" applyFont="1" applyFill="1" applyBorder="1"/>
    <xf numFmtId="165" fontId="8" fillId="19" borderId="22" xfId="0" applyNumberFormat="1" applyFont="1" applyFill="1" applyBorder="1"/>
    <xf numFmtId="165" fontId="8" fillId="14" borderId="2" xfId="0" applyNumberFormat="1" applyFont="1" applyFill="1" applyBorder="1"/>
    <xf numFmtId="165" fontId="8" fillId="20" borderId="25" xfId="0" applyNumberFormat="1" applyFont="1" applyFill="1" applyBorder="1"/>
    <xf numFmtId="165" fontId="8" fillId="14" borderId="16" xfId="0" applyNumberFormat="1" applyFont="1" applyFill="1" applyBorder="1"/>
    <xf numFmtId="165" fontId="8" fillId="20" borderId="2" xfId="0" applyNumberFormat="1" applyFont="1" applyFill="1" applyBorder="1"/>
    <xf numFmtId="165" fontId="8" fillId="19" borderId="21" xfId="0" applyNumberFormat="1" applyFont="1" applyFill="1" applyBorder="1"/>
    <xf numFmtId="165" fontId="8" fillId="19" borderId="14" xfId="0" applyNumberFormat="1" applyFont="1" applyFill="1" applyBorder="1" applyAlignment="1">
      <alignment horizontal="right"/>
    </xf>
    <xf numFmtId="165" fontId="7" fillId="12" borderId="25" xfId="0" applyNumberFormat="1" applyFont="1" applyFill="1" applyBorder="1"/>
    <xf numFmtId="165" fontId="8" fillId="20" borderId="5" xfId="0" applyNumberFormat="1" applyFont="1" applyFill="1" applyBorder="1"/>
    <xf numFmtId="165" fontId="7" fillId="14" borderId="4" xfId="0" applyNumberFormat="1" applyFont="1" applyFill="1" applyBorder="1"/>
    <xf numFmtId="165" fontId="8" fillId="20" borderId="19" xfId="0" applyNumberFormat="1" applyFont="1" applyFill="1" applyBorder="1"/>
    <xf numFmtId="165" fontId="8" fillId="20" borderId="4" xfId="0" applyNumberFormat="1" applyFont="1" applyFill="1" applyBorder="1"/>
    <xf numFmtId="165" fontId="8" fillId="19" borderId="3" xfId="0" applyNumberFormat="1" applyFont="1" applyFill="1" applyBorder="1"/>
    <xf numFmtId="165" fontId="7" fillId="12" borderId="4" xfId="0" applyNumberFormat="1" applyFont="1" applyFill="1" applyBorder="1"/>
    <xf numFmtId="165" fontId="29" fillId="0" borderId="0" xfId="0" applyNumberFormat="1" applyFont="1"/>
    <xf numFmtId="0" fontId="29" fillId="0" borderId="0" xfId="0" applyFont="1"/>
    <xf numFmtId="165" fontId="8" fillId="14" borderId="19" xfId="0" applyNumberFormat="1" applyFont="1" applyFill="1" applyBorder="1"/>
    <xf numFmtId="165" fontId="8" fillId="14" borderId="5" xfId="0" applyNumberFormat="1" applyFont="1" applyFill="1" applyBorder="1"/>
    <xf numFmtId="165" fontId="8" fillId="14" borderId="4" xfId="0" applyNumberFormat="1" applyFont="1" applyFill="1" applyBorder="1"/>
    <xf numFmtId="165" fontId="8" fillId="12" borderId="4" xfId="0" applyNumberFormat="1" applyFont="1" applyFill="1" applyBorder="1"/>
    <xf numFmtId="165" fontId="30" fillId="0" borderId="0" xfId="0" applyNumberFormat="1" applyFont="1"/>
    <xf numFmtId="165" fontId="8" fillId="14" borderId="14" xfId="0" applyNumberFormat="1" applyFont="1" applyFill="1" applyBorder="1"/>
    <xf numFmtId="165" fontId="8" fillId="14" borderId="25" xfId="0" applyNumberFormat="1" applyFont="1" applyFill="1" applyBorder="1"/>
    <xf numFmtId="165" fontId="8" fillId="20" borderId="24" xfId="0" applyNumberFormat="1" applyFont="1" applyFill="1" applyBorder="1"/>
    <xf numFmtId="165" fontId="8" fillId="20" borderId="23" xfId="0" applyNumberFormat="1" applyFont="1" applyFill="1" applyBorder="1"/>
    <xf numFmtId="165" fontId="8" fillId="19" borderId="11" xfId="0" applyNumberFormat="1" applyFont="1" applyFill="1" applyBorder="1"/>
    <xf numFmtId="165" fontId="8" fillId="20" borderId="7" xfId="0" applyNumberFormat="1" applyFont="1" applyFill="1" applyBorder="1"/>
    <xf numFmtId="165" fontId="7" fillId="0" borderId="36" xfId="0" applyNumberFormat="1" applyFont="1" applyBorder="1"/>
    <xf numFmtId="165" fontId="8" fillId="20" borderId="14" xfId="0" applyNumberFormat="1" applyFont="1" applyFill="1" applyBorder="1"/>
    <xf numFmtId="165" fontId="8" fillId="0" borderId="35" xfId="0" applyNumberFormat="1" applyFont="1" applyBorder="1"/>
    <xf numFmtId="165" fontId="8" fillId="20" borderId="22" xfId="0" applyNumberFormat="1" applyFont="1" applyFill="1" applyBorder="1"/>
    <xf numFmtId="165" fontId="8" fillId="0" borderId="36" xfId="0" applyNumberFormat="1" applyFont="1" applyBorder="1"/>
    <xf numFmtId="165" fontId="7" fillId="19" borderId="14" xfId="0" applyNumberFormat="1" applyFont="1" applyFill="1" applyBorder="1"/>
    <xf numFmtId="0" fontId="6" fillId="3" borderId="6" xfId="0" applyFont="1" applyFill="1" applyBorder="1"/>
    <xf numFmtId="164" fontId="6" fillId="3" borderId="7" xfId="0" applyNumberFormat="1" applyFont="1" applyFill="1" applyBorder="1"/>
    <xf numFmtId="164" fontId="6" fillId="3" borderId="6" xfId="0" applyNumberFormat="1" applyFont="1" applyFill="1" applyBorder="1"/>
    <xf numFmtId="165" fontId="6" fillId="3" borderId="25" xfId="0" applyNumberFormat="1" applyFont="1" applyFill="1" applyBorder="1"/>
    <xf numFmtId="165" fontId="6" fillId="3" borderId="16" xfId="0" applyNumberFormat="1" applyFont="1" applyFill="1" applyBorder="1"/>
    <xf numFmtId="165" fontId="6" fillId="3" borderId="7" xfId="0" applyNumberFormat="1" applyFont="1" applyFill="1" applyBorder="1"/>
    <xf numFmtId="164" fontId="6" fillId="3" borderId="22" xfId="0" applyNumberFormat="1" applyFont="1" applyFill="1" applyBorder="1"/>
    <xf numFmtId="164" fontId="6" fillId="3" borderId="25" xfId="0" applyNumberFormat="1" applyFont="1" applyFill="1" applyBorder="1"/>
    <xf numFmtId="165" fontId="6" fillId="3" borderId="2" xfId="0" applyNumberFormat="1" applyFont="1" applyFill="1" applyBorder="1"/>
    <xf numFmtId="167" fontId="1" fillId="0" borderId="0" xfId="0" applyNumberFormat="1" applyFont="1"/>
    <xf numFmtId="0" fontId="6" fillId="0" borderId="8" xfId="0" applyFont="1" applyBorder="1"/>
    <xf numFmtId="164" fontId="6" fillId="0" borderId="20" xfId="0" applyNumberFormat="1" applyFont="1" applyBorder="1"/>
    <xf numFmtId="164" fontId="6" fillId="0" borderId="8" xfId="0" applyNumberFormat="1" applyFont="1" applyBorder="1"/>
    <xf numFmtId="164" fontId="6" fillId="0" borderId="15" xfId="0" applyNumberFormat="1" applyFont="1" applyBorder="1"/>
    <xf numFmtId="164" fontId="6" fillId="0" borderId="2" xfId="0" applyNumberFormat="1" applyFont="1" applyBorder="1"/>
    <xf numFmtId="0" fontId="6" fillId="5" borderId="6" xfId="0" applyFont="1" applyFill="1" applyBorder="1"/>
    <xf numFmtId="164" fontId="6" fillId="5" borderId="7" xfId="0" applyNumberFormat="1" applyFont="1" applyFill="1" applyBorder="1"/>
    <xf numFmtId="164" fontId="6" fillId="5" borderId="6" xfId="0" applyNumberFormat="1" applyFont="1" applyFill="1" applyBorder="1"/>
    <xf numFmtId="164" fontId="6" fillId="5" borderId="16" xfId="0" applyNumberFormat="1" applyFont="1" applyFill="1" applyBorder="1"/>
    <xf numFmtId="164" fontId="6" fillId="5" borderId="2" xfId="0" applyNumberFormat="1" applyFont="1" applyFill="1" applyBorder="1"/>
    <xf numFmtId="169" fontId="1" fillId="14" borderId="11" xfId="0" applyNumberFormat="1" applyFont="1" applyFill="1" applyBorder="1"/>
    <xf numFmtId="169" fontId="1" fillId="14" borderId="24" xfId="0" applyNumberFormat="1" applyFont="1" applyFill="1" applyBorder="1"/>
    <xf numFmtId="0" fontId="1" fillId="0" borderId="9" xfId="0" applyFont="1" applyBorder="1"/>
    <xf numFmtId="167" fontId="7" fillId="0" borderId="0" xfId="0" applyNumberFormat="1" applyFont="1"/>
    <xf numFmtId="169" fontId="1" fillId="0" borderId="9" xfId="0" applyNumberFormat="1" applyFont="1" applyBorder="1"/>
    <xf numFmtId="169" fontId="1" fillId="0" borderId="10" xfId="0" applyNumberFormat="1" applyFont="1" applyBorder="1"/>
    <xf numFmtId="169" fontId="8" fillId="14" borderId="11" xfId="0" applyNumberFormat="1" applyFont="1" applyFill="1" applyBorder="1"/>
    <xf numFmtId="169" fontId="8" fillId="14" borderId="24" xfId="0" applyNumberFormat="1" applyFont="1" applyFill="1" applyBorder="1"/>
    <xf numFmtId="167" fontId="8" fillId="0" borderId="0" xfId="0" applyNumberFormat="1" applyFont="1"/>
    <xf numFmtId="164" fontId="6" fillId="3" borderId="16" xfId="0" applyNumberFormat="1" applyFont="1" applyFill="1" applyBorder="1"/>
    <xf numFmtId="164" fontId="6" fillId="3" borderId="2" xfId="0" applyNumberFormat="1" applyFont="1" applyFill="1" applyBorder="1"/>
    <xf numFmtId="0" fontId="1" fillId="0" borderId="13" xfId="0" applyFont="1" applyBorder="1"/>
    <xf numFmtId="0" fontId="8" fillId="0" borderId="36" xfId="0" applyFont="1" applyBorder="1"/>
    <xf numFmtId="169" fontId="8" fillId="14" borderId="14" xfId="0" applyNumberFormat="1" applyFont="1" applyFill="1" applyBorder="1"/>
    <xf numFmtId="165" fontId="2" fillId="2" borderId="6" xfId="0" applyNumberFormat="1" applyFont="1" applyFill="1" applyBorder="1" applyAlignment="1">
      <alignment vertical="center" wrapText="1"/>
    </xf>
    <xf numFmtId="165" fontId="2" fillId="2" borderId="7" xfId="0" applyNumberFormat="1" applyFont="1" applyFill="1" applyBorder="1" applyAlignment="1">
      <alignment vertical="center" wrapText="1"/>
    </xf>
    <xf numFmtId="165" fontId="2" fillId="2" borderId="16" xfId="0" applyNumberFormat="1" applyFont="1" applyFill="1" applyBorder="1" applyAlignment="1">
      <alignment vertical="center" wrapText="1"/>
    </xf>
    <xf numFmtId="0" fontId="6" fillId="0" borderId="10" xfId="0" applyFont="1" applyBorder="1"/>
    <xf numFmtId="0" fontId="1" fillId="0" borderId="32" xfId="0" applyFont="1" applyBorder="1"/>
    <xf numFmtId="169" fontId="6" fillId="19" borderId="5" xfId="0" applyNumberFormat="1" applyFont="1" applyFill="1" applyBorder="1"/>
    <xf numFmtId="169" fontId="6" fillId="12" borderId="11" xfId="0" applyNumberFormat="1" applyFont="1" applyFill="1" applyBorder="1"/>
    <xf numFmtId="0" fontId="29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169" fontId="1" fillId="13" borderId="11" xfId="0" applyNumberFormat="1" applyFont="1" applyFill="1" applyBorder="1"/>
    <xf numFmtId="9" fontId="1" fillId="14" borderId="2" xfId="0" applyNumberFormat="1" applyFont="1" applyFill="1" applyBorder="1"/>
    <xf numFmtId="165" fontId="1" fillId="14" borderId="16" xfId="0" applyNumberFormat="1" applyFont="1" applyFill="1" applyBorder="1"/>
    <xf numFmtId="169" fontId="3" fillId="0" borderId="20" xfId="0" applyNumberFormat="1" applyFont="1" applyBorder="1"/>
    <xf numFmtId="0" fontId="1" fillId="14" borderId="5" xfId="0" applyFont="1" applyFill="1" applyBorder="1"/>
    <xf numFmtId="164" fontId="8" fillId="14" borderId="4" xfId="0" applyNumberFormat="1" applyFont="1" applyFill="1" applyBorder="1"/>
    <xf numFmtId="0" fontId="1" fillId="13" borderId="14" xfId="0" applyFont="1" applyFill="1" applyBorder="1"/>
    <xf numFmtId="4" fontId="32" fillId="0" borderId="0" xfId="0" applyNumberFormat="1" applyFont="1"/>
    <xf numFmtId="0" fontId="6" fillId="0" borderId="10" xfId="0" applyFont="1" applyBorder="1" applyAlignment="1">
      <alignment horizontal="left"/>
    </xf>
    <xf numFmtId="165" fontId="3" fillId="19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169" fontId="3" fillId="12" borderId="11" xfId="0" applyNumberFormat="1" applyFont="1" applyFill="1" applyBorder="1"/>
    <xf numFmtId="165" fontId="1" fillId="14" borderId="4" xfId="0" applyNumberFormat="1" applyFont="1" applyFill="1" applyBorder="1" applyAlignment="1"/>
    <xf numFmtId="169" fontId="3" fillId="19" borderId="11" xfId="0" applyNumberFormat="1" applyFont="1" applyFill="1" applyBorder="1"/>
    <xf numFmtId="0" fontId="32" fillId="0" borderId="0" xfId="0" applyFont="1"/>
    <xf numFmtId="0" fontId="1" fillId="14" borderId="2" xfId="0" applyFont="1" applyFill="1" applyBorder="1"/>
    <xf numFmtId="2" fontId="1" fillId="14" borderId="16" xfId="0" applyNumberFormat="1" applyFont="1" applyFill="1" applyBorder="1"/>
    <xf numFmtId="165" fontId="8" fillId="14" borderId="23" xfId="0" applyNumberFormat="1" applyFont="1" applyFill="1" applyBorder="1"/>
    <xf numFmtId="169" fontId="6" fillId="19" borderId="14" xfId="0" applyNumberFormat="1" applyFont="1" applyFill="1" applyBorder="1"/>
    <xf numFmtId="165" fontId="1" fillId="12" borderId="25" xfId="0" applyNumberFormat="1" applyFont="1" applyFill="1" applyBorder="1"/>
    <xf numFmtId="0" fontId="6" fillId="0" borderId="0" xfId="0" applyFont="1" applyAlignment="1">
      <alignment horizontal="left"/>
    </xf>
    <xf numFmtId="169" fontId="29" fillId="19" borderId="5" xfId="0" applyNumberFormat="1" applyFont="1" applyFill="1" applyBorder="1"/>
    <xf numFmtId="164" fontId="1" fillId="13" borderId="5" xfId="0" applyNumberFormat="1" applyFont="1" applyFill="1" applyBorder="1" applyAlignment="1">
      <alignment horizontal="left"/>
    </xf>
    <xf numFmtId="0" fontId="29" fillId="0" borderId="0" xfId="0" applyFont="1" applyAlignment="1">
      <alignment horizontal="right"/>
    </xf>
    <xf numFmtId="0" fontId="1" fillId="13" borderId="11" xfId="0" applyFont="1" applyFill="1" applyBorder="1"/>
    <xf numFmtId="164" fontId="1" fillId="13" borderId="11" xfId="0" applyNumberFormat="1" applyFont="1" applyFill="1" applyBorder="1" applyAlignment="1">
      <alignment horizontal="left"/>
    </xf>
    <xf numFmtId="0" fontId="1" fillId="14" borderId="11" xfId="0" applyFont="1" applyFill="1" applyBorder="1"/>
    <xf numFmtId="164" fontId="8" fillId="14" borderId="11" xfId="0" applyNumberFormat="1" applyFont="1" applyFill="1" applyBorder="1"/>
    <xf numFmtId="9" fontId="1" fillId="14" borderId="5" xfId="0" applyNumberFormat="1" applyFont="1" applyFill="1" applyBorder="1"/>
    <xf numFmtId="169" fontId="1" fillId="13" borderId="5" xfId="0" applyNumberFormat="1" applyFont="1" applyFill="1" applyBorder="1" applyAlignment="1">
      <alignment horizontal="left"/>
    </xf>
    <xf numFmtId="9" fontId="1" fillId="14" borderId="11" xfId="0" applyNumberFormat="1" applyFont="1" applyFill="1" applyBorder="1"/>
    <xf numFmtId="169" fontId="1" fillId="13" borderId="11" xfId="0" applyNumberFormat="1" applyFont="1" applyFill="1" applyBorder="1" applyAlignment="1">
      <alignment horizontal="left"/>
    </xf>
    <xf numFmtId="9" fontId="1" fillId="14" borderId="14" xfId="0" applyNumberFormat="1" applyFont="1" applyFill="1" applyBorder="1"/>
    <xf numFmtId="169" fontId="1" fillId="13" borderId="14" xfId="0" applyNumberFormat="1" applyFont="1" applyFill="1" applyBorder="1" applyAlignment="1">
      <alignment horizontal="left"/>
    </xf>
    <xf numFmtId="0" fontId="1" fillId="0" borderId="12" xfId="0" applyFont="1" applyBorder="1"/>
    <xf numFmtId="169" fontId="6" fillId="12" borderId="14" xfId="0" applyNumberFormat="1" applyFont="1" applyFill="1" applyBorder="1"/>
    <xf numFmtId="0" fontId="6" fillId="4" borderId="1" xfId="0" applyFont="1" applyFill="1" applyBorder="1" applyAlignment="1">
      <alignment horizontal="left"/>
    </xf>
    <xf numFmtId="169" fontId="6" fillId="12" borderId="5" xfId="0" applyNumberFormat="1" applyFont="1" applyFill="1" applyBorder="1"/>
    <xf numFmtId="9" fontId="1" fillId="14" borderId="29" xfId="0" applyNumberFormat="1" applyFont="1" applyFill="1" applyBorder="1"/>
    <xf numFmtId="165" fontId="8" fillId="13" borderId="32" xfId="0" applyNumberFormat="1" applyFont="1" applyFill="1" applyBorder="1"/>
    <xf numFmtId="169" fontId="8" fillId="13" borderId="11" xfId="0" applyNumberFormat="1" applyFont="1" applyFill="1" applyBorder="1"/>
    <xf numFmtId="9" fontId="1" fillId="14" borderId="10" xfId="0" applyNumberFormat="1" applyFont="1" applyFill="1" applyBorder="1"/>
    <xf numFmtId="165" fontId="8" fillId="13" borderId="9" xfId="0" applyNumberFormat="1" applyFont="1" applyFill="1" applyBorder="1"/>
    <xf numFmtId="9" fontId="1" fillId="14" borderId="36" xfId="0" applyNumberFormat="1" applyFont="1" applyFill="1" applyBorder="1" applyAlignment="1"/>
    <xf numFmtId="165" fontId="1" fillId="13" borderId="12" xfId="0" applyNumberFormat="1" applyFont="1" applyFill="1" applyBorder="1" applyAlignment="1"/>
    <xf numFmtId="9" fontId="1" fillId="0" borderId="0" xfId="0" applyNumberFormat="1" applyFont="1"/>
    <xf numFmtId="9" fontId="1" fillId="14" borderId="34" xfId="0" applyNumberFormat="1" applyFont="1" applyFill="1" applyBorder="1"/>
    <xf numFmtId="165" fontId="1" fillId="13" borderId="34" xfId="0" applyNumberFormat="1" applyFont="1" applyFill="1" applyBorder="1"/>
    <xf numFmtId="10" fontId="1" fillId="14" borderId="11" xfId="0" applyNumberFormat="1" applyFont="1" applyFill="1" applyBorder="1"/>
    <xf numFmtId="165" fontId="1" fillId="13" borderId="11" xfId="0" applyNumberFormat="1" applyFont="1" applyFill="1" applyBorder="1"/>
    <xf numFmtId="10" fontId="1" fillId="0" borderId="0" xfId="0" applyNumberFormat="1" applyFont="1"/>
    <xf numFmtId="9" fontId="1" fillId="14" borderId="22" xfId="0" applyNumberFormat="1" applyFont="1" applyFill="1" applyBorder="1"/>
    <xf numFmtId="165" fontId="1" fillId="13" borderId="14" xfId="0" applyNumberFormat="1" applyFont="1" applyFill="1" applyBorder="1"/>
    <xf numFmtId="169" fontId="3" fillId="0" borderId="0" xfId="0" applyNumberFormat="1" applyFont="1"/>
    <xf numFmtId="164" fontId="6" fillId="3" borderId="21" xfId="0" applyNumberFormat="1" applyFont="1" applyFill="1" applyBorder="1"/>
    <xf numFmtId="165" fontId="3" fillId="3" borderId="25" xfId="0" applyNumberFormat="1" applyFont="1" applyFill="1" applyBorder="1"/>
    <xf numFmtId="164" fontId="6" fillId="0" borderId="0" xfId="0" applyNumberFormat="1" applyFont="1"/>
    <xf numFmtId="0" fontId="1" fillId="0" borderId="29" xfId="0" applyFont="1" applyBorder="1"/>
    <xf numFmtId="169" fontId="3" fillId="12" borderId="5" xfId="0" applyNumberFormat="1" applyFont="1" applyFill="1" applyBorder="1"/>
    <xf numFmtId="169" fontId="3" fillId="0" borderId="31" xfId="0" applyNumberFormat="1" applyFont="1" applyBorder="1"/>
    <xf numFmtId="169" fontId="8" fillId="0" borderId="0" xfId="0" applyNumberFormat="1" applyFont="1"/>
    <xf numFmtId="169" fontId="3" fillId="0" borderId="35" xfId="0" applyNumberFormat="1" applyFont="1" applyBorder="1"/>
    <xf numFmtId="169" fontId="8" fillId="14" borderId="11" xfId="0" applyNumberFormat="1" applyFont="1" applyFill="1" applyBorder="1" applyAlignment="1"/>
    <xf numFmtId="0" fontId="29" fillId="0" borderId="0" xfId="0" applyFont="1" applyAlignment="1">
      <alignment horizontal="right"/>
    </xf>
    <xf numFmtId="0" fontId="8" fillId="0" borderId="0" xfId="0" applyFont="1" applyAlignment="1"/>
    <xf numFmtId="169" fontId="8" fillId="19" borderId="11" xfId="0" applyNumberFormat="1" applyFont="1" applyFill="1" applyBorder="1"/>
    <xf numFmtId="0" fontId="3" fillId="0" borderId="0" xfId="0" applyFont="1"/>
    <xf numFmtId="0" fontId="6" fillId="0" borderId="13" xfId="0" applyFont="1" applyBorder="1"/>
    <xf numFmtId="169" fontId="3" fillId="12" borderId="13" xfId="0" applyNumberFormat="1" applyFont="1" applyFill="1" applyBorder="1"/>
    <xf numFmtId="170" fontId="8" fillId="14" borderId="2" xfId="0" applyNumberFormat="1" applyFont="1" applyFill="1" applyBorder="1"/>
    <xf numFmtId="169" fontId="8" fillId="14" borderId="2" xfId="0" applyNumberFormat="1" applyFont="1" applyFill="1" applyBorder="1"/>
    <xf numFmtId="0" fontId="1" fillId="0" borderId="36" xfId="0" applyFont="1" applyBorder="1"/>
    <xf numFmtId="169" fontId="3" fillId="12" borderId="14" xfId="0" applyNumberFormat="1" applyFont="1" applyFill="1" applyBorder="1"/>
    <xf numFmtId="164" fontId="3" fillId="3" borderId="7" xfId="0" applyNumberFormat="1" applyFont="1" applyFill="1" applyBorder="1"/>
    <xf numFmtId="165" fontId="3" fillId="3" borderId="16" xfId="0" applyNumberFormat="1" applyFont="1" applyFill="1" applyBorder="1"/>
    <xf numFmtId="165" fontId="33" fillId="2" borderId="3" xfId="0" applyNumberFormat="1" applyFont="1" applyFill="1" applyBorder="1" applyAlignment="1">
      <alignment vertical="center" wrapText="1"/>
    </xf>
    <xf numFmtId="165" fontId="33" fillId="2" borderId="5" xfId="0" applyNumberFormat="1" applyFont="1" applyFill="1" applyBorder="1" applyAlignment="1">
      <alignment vertical="center" wrapText="1"/>
    </xf>
    <xf numFmtId="165" fontId="25" fillId="2" borderId="5" xfId="0" applyNumberFormat="1" applyFont="1" applyFill="1" applyBorder="1" applyAlignment="1">
      <alignment vertical="center" wrapText="1"/>
    </xf>
    <xf numFmtId="165" fontId="33" fillId="2" borderId="4" xfId="0" applyNumberFormat="1" applyFont="1" applyFill="1" applyBorder="1" applyAlignment="1">
      <alignment vertical="center" wrapText="1"/>
    </xf>
    <xf numFmtId="165" fontId="2" fillId="2" borderId="5" xfId="0" applyNumberFormat="1" applyFont="1" applyFill="1" applyBorder="1" applyAlignment="1">
      <alignment vertical="center" wrapText="1"/>
    </xf>
    <xf numFmtId="165" fontId="22" fillId="13" borderId="19" xfId="0" applyNumberFormat="1" applyFont="1" applyFill="1" applyBorder="1"/>
    <xf numFmtId="165" fontId="20" fillId="0" borderId="31" xfId="0" applyNumberFormat="1" applyFont="1" applyBorder="1"/>
    <xf numFmtId="165" fontId="22" fillId="13" borderId="4" xfId="0" applyNumberFormat="1" applyFont="1" applyFill="1" applyBorder="1"/>
    <xf numFmtId="165" fontId="6" fillId="3" borderId="11" xfId="0" applyNumberFormat="1" applyFont="1" applyFill="1" applyBorder="1" applyAlignment="1">
      <alignment wrapText="1"/>
    </xf>
    <xf numFmtId="165" fontId="6" fillId="3" borderId="1" xfId="0" applyNumberFormat="1" applyFont="1" applyFill="1" applyBorder="1" applyAlignment="1">
      <alignment wrapText="1"/>
    </xf>
    <xf numFmtId="165" fontId="22" fillId="13" borderId="24" xfId="0" applyNumberFormat="1" applyFont="1" applyFill="1" applyBorder="1"/>
    <xf numFmtId="165" fontId="22" fillId="13" borderId="23" xfId="0" applyNumberFormat="1" applyFont="1" applyFill="1" applyBorder="1"/>
    <xf numFmtId="165" fontId="20" fillId="0" borderId="9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right"/>
    </xf>
    <xf numFmtId="165" fontId="20" fillId="21" borderId="1" xfId="0" applyNumberFormat="1" applyFont="1" applyFill="1" applyBorder="1" applyAlignment="1">
      <alignment horizontal="right"/>
    </xf>
    <xf numFmtId="165" fontId="20" fillId="0" borderId="9" xfId="0" applyNumberFormat="1" applyFont="1" applyBorder="1"/>
    <xf numFmtId="165" fontId="34" fillId="3" borderId="6" xfId="0" applyNumberFormat="1" applyFont="1" applyFill="1" applyBorder="1" applyAlignment="1">
      <alignment wrapText="1"/>
    </xf>
    <xf numFmtId="165" fontId="34" fillId="3" borderId="7" xfId="0" applyNumberFormat="1" applyFont="1" applyFill="1" applyBorder="1" applyAlignment="1">
      <alignment wrapText="1"/>
    </xf>
    <xf numFmtId="165" fontId="34" fillId="3" borderId="16" xfId="0" applyNumberFormat="1" applyFont="1" applyFill="1" applyBorder="1" applyAlignment="1">
      <alignment wrapText="1"/>
    </xf>
    <xf numFmtId="165" fontId="20" fillId="22" borderId="24" xfId="0" applyNumberFormat="1" applyFont="1" applyFill="1" applyBorder="1" applyAlignment="1">
      <alignment horizontal="left"/>
    </xf>
    <xf numFmtId="165" fontId="20" fillId="22" borderId="1" xfId="0" applyNumberFormat="1" applyFont="1" applyFill="1" applyBorder="1" applyAlignment="1">
      <alignment horizontal="right"/>
    </xf>
    <xf numFmtId="165" fontId="20" fillId="22" borderId="23" xfId="0" applyNumberFormat="1" applyFont="1" applyFill="1" applyBorder="1" applyAlignment="1">
      <alignment horizontal="right"/>
    </xf>
    <xf numFmtId="165" fontId="20" fillId="0" borderId="9" xfId="0" applyNumberFormat="1" applyFont="1" applyBorder="1" applyAlignment="1">
      <alignment horizontal="right"/>
    </xf>
    <xf numFmtId="165" fontId="21" fillId="0" borderId="9" xfId="0" applyNumberFormat="1" applyFont="1" applyBorder="1" applyAlignment="1">
      <alignment horizontal="left"/>
    </xf>
    <xf numFmtId="165" fontId="21" fillId="0" borderId="0" xfId="0" applyNumberFormat="1" applyFont="1" applyAlignment="1">
      <alignment horizontal="right"/>
    </xf>
    <xf numFmtId="165" fontId="33" fillId="2" borderId="2" xfId="0" applyNumberFormat="1" applyFont="1" applyFill="1" applyBorder="1" applyAlignment="1">
      <alignment vertical="center" wrapText="1"/>
    </xf>
    <xf numFmtId="165" fontId="6" fillId="3" borderId="19" xfId="0" applyNumberFormat="1" applyFont="1" applyFill="1" applyBorder="1" applyAlignment="1">
      <alignment wrapText="1"/>
    </xf>
    <xf numFmtId="165" fontId="20" fillId="0" borderId="10" xfId="0" applyNumberFormat="1" applyFont="1" applyBorder="1" applyAlignment="1">
      <alignment horizontal="left"/>
    </xf>
    <xf numFmtId="165" fontId="20" fillId="0" borderId="36" xfId="0" applyNumberFormat="1" applyFont="1" applyBorder="1" applyAlignment="1">
      <alignment horizontal="left"/>
    </xf>
    <xf numFmtId="165" fontId="20" fillId="0" borderId="12" xfId="0" applyNumberFormat="1" applyFont="1" applyBorder="1" applyAlignment="1">
      <alignment horizontal="right"/>
    </xf>
    <xf numFmtId="165" fontId="20" fillId="0" borderId="35" xfId="0" applyNumberFormat="1" applyFont="1" applyBorder="1"/>
    <xf numFmtId="165" fontId="20" fillId="0" borderId="10" xfId="0" applyNumberFormat="1" applyFont="1" applyBorder="1" applyAlignment="1">
      <alignment horizontal="left" vertical="center"/>
    </xf>
    <xf numFmtId="165" fontId="11" fillId="3" borderId="3" xfId="0" applyNumberFormat="1" applyFont="1" applyFill="1" applyBorder="1" applyAlignment="1">
      <alignment wrapText="1"/>
    </xf>
    <xf numFmtId="165" fontId="11" fillId="3" borderId="5" xfId="0" applyNumberFormat="1" applyFont="1" applyFill="1" applyBorder="1" applyAlignment="1">
      <alignment wrapText="1"/>
    </xf>
    <xf numFmtId="165" fontId="35" fillId="0" borderId="0" xfId="0" applyNumberFormat="1" applyFont="1"/>
    <xf numFmtId="165" fontId="21" fillId="0" borderId="0" xfId="0" applyNumberFormat="1" applyFont="1"/>
    <xf numFmtId="165" fontId="21" fillId="0" borderId="9" xfId="0" applyNumberFormat="1" applyFont="1" applyBorder="1" applyAlignment="1">
      <alignment horizontal="right"/>
    </xf>
    <xf numFmtId="165" fontId="23" fillId="21" borderId="1" xfId="0" applyNumberFormat="1" applyFont="1" applyFill="1" applyBorder="1"/>
    <xf numFmtId="165" fontId="23" fillId="0" borderId="9" xfId="0" applyNumberFormat="1" applyFont="1" applyBorder="1" applyAlignment="1">
      <alignment horizontal="right"/>
    </xf>
    <xf numFmtId="165" fontId="21" fillId="21" borderId="1" xfId="0" applyNumberFormat="1" applyFont="1" applyFill="1" applyBorder="1"/>
    <xf numFmtId="165" fontId="33" fillId="2" borderId="7" xfId="0" applyNumberFormat="1" applyFont="1" applyFill="1" applyBorder="1" applyAlignment="1">
      <alignment vertical="center" wrapText="1"/>
    </xf>
    <xf numFmtId="165" fontId="20" fillId="22" borderId="24" xfId="0" applyNumberFormat="1" applyFont="1" applyFill="1" applyBorder="1" applyAlignment="1">
      <alignment horizontal="left" vertical="center"/>
    </xf>
    <xf numFmtId="165" fontId="20" fillId="22" borderId="11" xfId="0" applyNumberFormat="1" applyFont="1" applyFill="1" applyBorder="1" applyAlignment="1">
      <alignment horizontal="right"/>
    </xf>
    <xf numFmtId="165" fontId="33" fillId="0" borderId="8" xfId="0" applyNumberFormat="1" applyFont="1" applyBorder="1" applyAlignment="1">
      <alignment vertical="center" wrapText="1"/>
    </xf>
    <xf numFmtId="165" fontId="33" fillId="0" borderId="20" xfId="0" applyNumberFormat="1" applyFont="1" applyBorder="1" applyAlignment="1">
      <alignment vertical="center" wrapText="1"/>
    </xf>
    <xf numFmtId="165" fontId="33" fillId="0" borderId="2" xfId="0" applyNumberFormat="1" applyFont="1" applyBorder="1" applyAlignment="1">
      <alignment vertical="center" wrapText="1"/>
    </xf>
    <xf numFmtId="165" fontId="22" fillId="3" borderId="7" xfId="0" applyNumberFormat="1" applyFont="1" applyFill="1" applyBorder="1" applyAlignment="1">
      <alignment wrapText="1"/>
    </xf>
    <xf numFmtId="165" fontId="36" fillId="0" borderId="0" xfId="0" applyNumberFormat="1" applyFont="1"/>
    <xf numFmtId="165" fontId="20" fillId="0" borderId="10" xfId="0" applyNumberFormat="1" applyFont="1" applyBorder="1"/>
    <xf numFmtId="164" fontId="6" fillId="3" borderId="5" xfId="0" applyNumberFormat="1" applyFont="1" applyFill="1" applyBorder="1" applyAlignment="1">
      <alignment wrapText="1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/>
    <xf numFmtId="164" fontId="6" fillId="3" borderId="24" xfId="0" applyNumberFormat="1" applyFont="1" applyFill="1" applyBorder="1" applyAlignment="1">
      <alignment wrapText="1"/>
    </xf>
    <xf numFmtId="164" fontId="1" fillId="3" borderId="19" xfId="0" applyNumberFormat="1" applyFont="1" applyFill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64" fontId="1" fillId="3" borderId="11" xfId="0" applyNumberFormat="1" applyFont="1" applyFill="1" applyBorder="1" applyAlignment="1">
      <alignment vertical="center" wrapText="1"/>
    </xf>
    <xf numFmtId="164" fontId="1" fillId="3" borderId="24" xfId="0" applyNumberFormat="1" applyFont="1" applyFill="1" applyBorder="1" applyAlignment="1">
      <alignment vertical="center" wrapText="1"/>
    </xf>
    <xf numFmtId="165" fontId="1" fillId="3" borderId="23" xfId="0" applyNumberFormat="1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wrapText="1"/>
    </xf>
    <xf numFmtId="164" fontId="1" fillId="2" borderId="24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5" fontId="7" fillId="0" borderId="29" xfId="0" applyNumberFormat="1" applyFont="1" applyBorder="1" applyAlignment="1">
      <alignment vertical="center"/>
    </xf>
    <xf numFmtId="165" fontId="7" fillId="0" borderId="30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32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37" fillId="0" borderId="0" xfId="0" applyFont="1"/>
    <xf numFmtId="0" fontId="38" fillId="0" borderId="0" xfId="0" applyFont="1"/>
    <xf numFmtId="165" fontId="8" fillId="0" borderId="9" xfId="0" applyNumberFormat="1" applyFont="1" applyBorder="1" applyAlignment="1">
      <alignment vertical="center"/>
    </xf>
    <xf numFmtId="165" fontId="1" fillId="12" borderId="19" xfId="0" applyNumberFormat="1" applyFont="1" applyFill="1" applyBorder="1"/>
    <xf numFmtId="165" fontId="1" fillId="12" borderId="5" xfId="0" applyNumberFormat="1" applyFont="1" applyFill="1" applyBorder="1"/>
    <xf numFmtId="165" fontId="1" fillId="12" borderId="24" xfId="0" applyNumberFormat="1" applyFont="1" applyFill="1" applyBorder="1" applyAlignment="1">
      <alignment wrapText="1"/>
    </xf>
    <xf numFmtId="165" fontId="1" fillId="12" borderId="23" xfId="0" applyNumberFormat="1" applyFont="1" applyFill="1" applyBorder="1" applyAlignment="1">
      <alignment wrapText="1"/>
    </xf>
    <xf numFmtId="165" fontId="1" fillId="12" borderId="11" xfId="0" applyNumberFormat="1" applyFont="1" applyFill="1" applyBorder="1" applyAlignment="1">
      <alignment vertical="center"/>
    </xf>
    <xf numFmtId="165" fontId="1" fillId="12" borderId="11" xfId="0" applyNumberFormat="1" applyFont="1" applyFill="1" applyBorder="1" applyAlignment="1">
      <alignment wrapText="1"/>
    </xf>
    <xf numFmtId="165" fontId="1" fillId="12" borderId="22" xfId="0" applyNumberFormat="1" applyFont="1" applyFill="1" applyBorder="1" applyAlignment="1">
      <alignment wrapText="1"/>
    </xf>
    <xf numFmtId="165" fontId="1" fillId="12" borderId="25" xfId="0" applyNumberFormat="1" applyFont="1" applyFill="1" applyBorder="1" applyAlignment="1">
      <alignment wrapText="1"/>
    </xf>
    <xf numFmtId="165" fontId="1" fillId="12" borderId="14" xfId="0" applyNumberFormat="1" applyFont="1" applyFill="1" applyBorder="1" applyAlignment="1">
      <alignment wrapText="1"/>
    </xf>
    <xf numFmtId="165" fontId="1" fillId="12" borderId="14" xfId="0" applyNumberFormat="1" applyFont="1" applyFill="1" applyBorder="1" applyAlignment="1">
      <alignment vertical="center"/>
    </xf>
    <xf numFmtId="165" fontId="1" fillId="12" borderId="22" xfId="0" applyNumberFormat="1" applyFont="1" applyFill="1" applyBorder="1" applyAlignment="1">
      <alignment vertical="center"/>
    </xf>
    <xf numFmtId="165" fontId="39" fillId="12" borderId="16" xfId="0" applyNumberFormat="1" applyFont="1" applyFill="1" applyBorder="1" applyAlignment="1">
      <alignment wrapText="1"/>
    </xf>
    <xf numFmtId="164" fontId="8" fillId="2" borderId="6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165" fontId="1" fillId="5" borderId="24" xfId="0" applyNumberFormat="1" applyFont="1" applyFill="1" applyBorder="1"/>
    <xf numFmtId="1" fontId="7" fillId="14" borderId="14" xfId="0" applyNumberFormat="1" applyFont="1" applyFill="1" applyBorder="1" applyAlignment="1">
      <alignment horizontal="center" wrapText="1"/>
    </xf>
    <xf numFmtId="0" fontId="23" fillId="0" borderId="13" xfId="0" applyFont="1" applyBorder="1"/>
    <xf numFmtId="0" fontId="23" fillId="0" borderId="9" xfId="0" applyFont="1" applyBorder="1"/>
    <xf numFmtId="1" fontId="7" fillId="14" borderId="22" xfId="0" applyNumberFormat="1" applyFont="1" applyFill="1" applyBorder="1" applyAlignment="1">
      <alignment horizontal="center" wrapText="1"/>
    </xf>
    <xf numFmtId="165" fontId="1" fillId="5" borderId="5" xfId="0" applyNumberFormat="1" applyFont="1" applyFill="1" applyBorder="1"/>
    <xf numFmtId="165" fontId="1" fillId="12" borderId="2" xfId="0" applyNumberFormat="1" applyFont="1" applyFill="1" applyBorder="1"/>
    <xf numFmtId="0" fontId="20" fillId="0" borderId="13" xfId="0" applyFont="1" applyBorder="1"/>
    <xf numFmtId="0" fontId="20" fillId="0" borderId="9" xfId="0" applyFont="1" applyBorder="1"/>
    <xf numFmtId="164" fontId="8" fillId="4" borderId="24" xfId="0" applyNumberFormat="1" applyFont="1" applyFill="1" applyBorder="1" applyAlignment="1">
      <alignment wrapText="1"/>
    </xf>
    <xf numFmtId="164" fontId="8" fillId="14" borderId="24" xfId="0" applyNumberFormat="1" applyFont="1" applyFill="1" applyBorder="1" applyAlignment="1">
      <alignment vertical="center"/>
    </xf>
    <xf numFmtId="164" fontId="8" fillId="0" borderId="9" xfId="0" applyNumberFormat="1" applyFont="1" applyBorder="1"/>
    <xf numFmtId="164" fontId="8" fillId="14" borderId="11" xfId="0" applyNumberFormat="1" applyFont="1" applyFill="1" applyBorder="1" applyAlignment="1">
      <alignment vertical="center"/>
    </xf>
    <xf numFmtId="164" fontId="8" fillId="17" borderId="24" xfId="0" applyNumberFormat="1" applyFont="1" applyFill="1" applyBorder="1" applyAlignment="1">
      <alignment vertical="center"/>
    </xf>
    <xf numFmtId="164" fontId="8" fillId="17" borderId="11" xfId="0" applyNumberFormat="1" applyFont="1" applyFill="1" applyBorder="1" applyAlignment="1">
      <alignment vertical="center"/>
    </xf>
    <xf numFmtId="164" fontId="8" fillId="14" borderId="24" xfId="0" applyNumberFormat="1" applyFont="1" applyFill="1" applyBorder="1"/>
    <xf numFmtId="9" fontId="8" fillId="17" borderId="24" xfId="0" applyNumberFormat="1" applyFont="1" applyFill="1" applyBorder="1"/>
    <xf numFmtId="9" fontId="8" fillId="17" borderId="11" xfId="0" applyNumberFormat="1" applyFont="1" applyFill="1" applyBorder="1"/>
    <xf numFmtId="2" fontId="8" fillId="14" borderId="24" xfId="0" applyNumberFormat="1" applyFont="1" applyFill="1" applyBorder="1"/>
    <xf numFmtId="2" fontId="8" fillId="14" borderId="11" xfId="0" applyNumberFormat="1" applyFont="1" applyFill="1" applyBorder="1"/>
    <xf numFmtId="2" fontId="8" fillId="12" borderId="24" xfId="0" applyNumberFormat="1" applyFont="1" applyFill="1" applyBorder="1"/>
    <xf numFmtId="2" fontId="8" fillId="0" borderId="9" xfId="0" applyNumberFormat="1" applyFont="1" applyBorder="1"/>
    <xf numFmtId="2" fontId="8" fillId="12" borderId="11" xfId="0" applyNumberFormat="1" applyFont="1" applyFill="1" applyBorder="1"/>
    <xf numFmtId="164" fontId="8" fillId="2" borderId="24" xfId="0" applyNumberFormat="1" applyFont="1" applyFill="1" applyBorder="1" applyAlignment="1">
      <alignment vertical="center" wrapText="1"/>
    </xf>
    <xf numFmtId="164" fontId="8" fillId="2" borderId="11" xfId="0" applyNumberFormat="1" applyFont="1" applyFill="1" applyBorder="1" applyAlignment="1">
      <alignment vertical="center" wrapText="1"/>
    </xf>
    <xf numFmtId="164" fontId="8" fillId="17" borderId="24" xfId="0" applyNumberFormat="1" applyFont="1" applyFill="1" applyBorder="1" applyAlignment="1">
      <alignment wrapText="1"/>
    </xf>
    <xf numFmtId="164" fontId="8" fillId="17" borderId="11" xfId="0" applyNumberFormat="1" applyFont="1" applyFill="1" applyBorder="1" applyAlignment="1">
      <alignment wrapText="1"/>
    </xf>
    <xf numFmtId="164" fontId="8" fillId="4" borderId="11" xfId="0" applyNumberFormat="1" applyFont="1" applyFill="1" applyBorder="1"/>
    <xf numFmtId="164" fontId="8" fillId="14" borderId="24" xfId="0" applyNumberFormat="1" applyFont="1" applyFill="1" applyBorder="1" applyAlignment="1">
      <alignment wrapText="1"/>
    </xf>
    <xf numFmtId="164" fontId="8" fillId="23" borderId="11" xfId="0" applyNumberFormat="1" applyFont="1" applyFill="1" applyBorder="1" applyAlignment="1">
      <alignment wrapText="1"/>
    </xf>
    <xf numFmtId="164" fontId="8" fillId="14" borderId="11" xfId="0" applyNumberFormat="1" applyFont="1" applyFill="1" applyBorder="1" applyAlignment="1">
      <alignment wrapText="1"/>
    </xf>
    <xf numFmtId="164" fontId="8" fillId="4" borderId="19" xfId="0" applyNumberFormat="1" applyFont="1" applyFill="1" applyBorder="1" applyAlignment="1">
      <alignment wrapText="1"/>
    </xf>
    <xf numFmtId="164" fontId="8" fillId="23" borderId="11" xfId="0" applyNumberFormat="1" applyFont="1" applyFill="1" applyBorder="1"/>
    <xf numFmtId="164" fontId="8" fillId="23" borderId="24" xfId="0" applyNumberFormat="1" applyFont="1" applyFill="1" applyBorder="1" applyAlignment="1">
      <alignment vertical="center"/>
    </xf>
    <xf numFmtId="164" fontId="8" fillId="23" borderId="11" xfId="0" applyNumberFormat="1" applyFont="1" applyFill="1" applyBorder="1" applyAlignment="1">
      <alignment vertical="center"/>
    </xf>
    <xf numFmtId="164" fontId="8" fillId="4" borderId="22" xfId="0" applyNumberFormat="1" applyFont="1" applyFill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164" fontId="8" fillId="17" borderId="19" xfId="0" applyNumberFormat="1" applyFont="1" applyFill="1" applyBorder="1" applyAlignment="1">
      <alignment vertical="center" wrapText="1"/>
    </xf>
    <xf numFmtId="164" fontId="8" fillId="17" borderId="5" xfId="0" applyNumberFormat="1" applyFont="1" applyFill="1" applyBorder="1" applyAlignment="1">
      <alignment vertical="center" wrapText="1"/>
    </xf>
    <xf numFmtId="164" fontId="8" fillId="0" borderId="32" xfId="0" applyNumberFormat="1" applyFont="1" applyBorder="1" applyAlignment="1">
      <alignment vertical="center" wrapText="1"/>
    </xf>
    <xf numFmtId="164" fontId="8" fillId="0" borderId="10" xfId="0" applyNumberFormat="1" applyFont="1" applyBorder="1"/>
    <xf numFmtId="164" fontId="8" fillId="17" borderId="11" xfId="0" applyNumberFormat="1" applyFont="1" applyFill="1" applyBorder="1"/>
    <xf numFmtId="164" fontId="1" fillId="17" borderId="11" xfId="0" applyNumberFormat="1" applyFont="1" applyFill="1" applyBorder="1"/>
    <xf numFmtId="164" fontId="1" fillId="4" borderId="6" xfId="0" applyNumberFormat="1" applyFont="1" applyFill="1" applyBorder="1" applyAlignment="1">
      <alignment wrapText="1"/>
    </xf>
    <xf numFmtId="164" fontId="1" fillId="14" borderId="16" xfId="0" applyNumberFormat="1" applyFont="1" applyFill="1" applyBorder="1"/>
    <xf numFmtId="164" fontId="1" fillId="4" borderId="19" xfId="0" applyNumberFormat="1" applyFont="1" applyFill="1" applyBorder="1" applyAlignment="1">
      <alignment wrapText="1"/>
    </xf>
    <xf numFmtId="164" fontId="1" fillId="14" borderId="4" xfId="0" applyNumberFormat="1" applyFont="1" applyFill="1" applyBorder="1"/>
    <xf numFmtId="164" fontId="1" fillId="17" borderId="25" xfId="0" applyNumberFormat="1" applyFont="1" applyFill="1" applyBorder="1"/>
    <xf numFmtId="165" fontId="5" fillId="2" borderId="7" xfId="0" applyNumberFormat="1" applyFont="1" applyFill="1" applyBorder="1" applyAlignment="1">
      <alignment wrapText="1"/>
    </xf>
    <xf numFmtId="165" fontId="5" fillId="2" borderId="3" xfId="0" applyNumberFormat="1" applyFont="1" applyFill="1" applyBorder="1" applyAlignment="1">
      <alignment wrapText="1"/>
    </xf>
    <xf numFmtId="165" fontId="5" fillId="2" borderId="23" xfId="0" applyNumberFormat="1" applyFont="1" applyFill="1" applyBorder="1" applyAlignment="1">
      <alignment wrapText="1"/>
    </xf>
    <xf numFmtId="165" fontId="6" fillId="17" borderId="6" xfId="0" applyNumberFormat="1" applyFont="1" applyFill="1" applyBorder="1"/>
    <xf numFmtId="165" fontId="1" fillId="14" borderId="42" xfId="0" applyNumberFormat="1" applyFont="1" applyFill="1" applyBorder="1" applyAlignment="1">
      <alignment wrapText="1"/>
    </xf>
    <xf numFmtId="165" fontId="1" fillId="14" borderId="43" xfId="0" applyNumberFormat="1" applyFont="1" applyFill="1" applyBorder="1" applyAlignment="1">
      <alignment wrapText="1"/>
    </xf>
    <xf numFmtId="165" fontId="1" fillId="14" borderId="44" xfId="0" applyNumberFormat="1" applyFont="1" applyFill="1" applyBorder="1" applyAlignment="1">
      <alignment wrapText="1"/>
    </xf>
    <xf numFmtId="165" fontId="6" fillId="17" borderId="22" xfId="0" applyNumberFormat="1" applyFont="1" applyFill="1" applyBorder="1"/>
    <xf numFmtId="165" fontId="1" fillId="24" borderId="45" xfId="0" applyNumberFormat="1" applyFont="1" applyFill="1" applyBorder="1" applyAlignment="1">
      <alignment wrapText="1"/>
    </xf>
    <xf numFmtId="165" fontId="1" fillId="24" borderId="21" xfId="0" applyNumberFormat="1" applyFont="1" applyFill="1" applyBorder="1" applyAlignment="1">
      <alignment wrapText="1"/>
    </xf>
    <xf numFmtId="165" fontId="1" fillId="24" borderId="46" xfId="0" applyNumberFormat="1" applyFont="1" applyFill="1" applyBorder="1" applyAlignment="1">
      <alignment wrapText="1"/>
    </xf>
    <xf numFmtId="165" fontId="1" fillId="24" borderId="47" xfId="0" applyNumberFormat="1" applyFont="1" applyFill="1" applyBorder="1" applyAlignment="1">
      <alignment wrapText="1"/>
    </xf>
    <xf numFmtId="165" fontId="1" fillId="24" borderId="1" xfId="0" applyNumberFormat="1" applyFont="1" applyFill="1" applyBorder="1" applyAlignment="1">
      <alignment wrapText="1"/>
    </xf>
    <xf numFmtId="165" fontId="1" fillId="24" borderId="48" xfId="0" applyNumberFormat="1" applyFont="1" applyFill="1" applyBorder="1" applyAlignment="1">
      <alignment wrapText="1"/>
    </xf>
    <xf numFmtId="165" fontId="6" fillId="17" borderId="22" xfId="0" applyNumberFormat="1" applyFont="1" applyFill="1" applyBorder="1" applyAlignment="1">
      <alignment wrapText="1"/>
    </xf>
    <xf numFmtId="165" fontId="6" fillId="17" borderId="49" xfId="0" applyNumberFormat="1" applyFont="1" applyFill="1" applyBorder="1" applyAlignment="1">
      <alignment wrapText="1"/>
    </xf>
    <xf numFmtId="165" fontId="6" fillId="17" borderId="50" xfId="0" applyNumberFormat="1" applyFont="1" applyFill="1" applyBorder="1" applyAlignment="1">
      <alignment wrapText="1"/>
    </xf>
    <xf numFmtId="165" fontId="6" fillId="17" borderId="51" xfId="0" applyNumberFormat="1" applyFont="1" applyFill="1" applyBorder="1" applyAlignment="1">
      <alignment wrapText="1"/>
    </xf>
    <xf numFmtId="164" fontId="5" fillId="2" borderId="22" xfId="0" applyNumberFormat="1" applyFont="1" applyFill="1" applyBorder="1" applyAlignment="1">
      <alignment wrapText="1"/>
    </xf>
    <xf numFmtId="164" fontId="5" fillId="2" borderId="2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164" fontId="1" fillId="23" borderId="24" xfId="0" applyNumberFormat="1" applyFont="1" applyFill="1" applyBorder="1" applyAlignment="1">
      <alignment wrapText="1"/>
    </xf>
    <xf numFmtId="165" fontId="7" fillId="14" borderId="24" xfId="0" applyNumberFormat="1" applyFont="1" applyFill="1" applyBorder="1" applyAlignment="1">
      <alignment vertical="center"/>
    </xf>
    <xf numFmtId="165" fontId="7" fillId="14" borderId="11" xfId="0" applyNumberFormat="1" applyFont="1" applyFill="1" applyBorder="1" applyAlignment="1">
      <alignment vertical="center"/>
    </xf>
    <xf numFmtId="164" fontId="1" fillId="23" borderId="22" xfId="0" applyNumberFormat="1" applyFont="1" applyFill="1" applyBorder="1" applyAlignment="1">
      <alignment wrapText="1"/>
    </xf>
    <xf numFmtId="165" fontId="7" fillId="14" borderId="22" xfId="0" applyNumberFormat="1" applyFont="1" applyFill="1" applyBorder="1" applyAlignment="1">
      <alignment vertical="center"/>
    </xf>
    <xf numFmtId="165" fontId="7" fillId="14" borderId="14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7" xfId="0" applyNumberFormat="1" applyFont="1" applyFill="1" applyBorder="1"/>
    <xf numFmtId="164" fontId="5" fillId="2" borderId="16" xfId="0" applyNumberFormat="1" applyFont="1" applyFill="1" applyBorder="1"/>
    <xf numFmtId="0" fontId="20" fillId="0" borderId="32" xfId="0" applyFont="1" applyBorder="1"/>
    <xf numFmtId="165" fontId="21" fillId="0" borderId="31" xfId="0" applyNumberFormat="1" applyFont="1" applyBorder="1"/>
    <xf numFmtId="0" fontId="20" fillId="0" borderId="31" xfId="0" applyFont="1" applyBorder="1"/>
    <xf numFmtId="165" fontId="20" fillId="0" borderId="32" xfId="0" applyNumberFormat="1" applyFont="1" applyBorder="1"/>
    <xf numFmtId="9" fontId="1" fillId="14" borderId="3" xfId="0" applyNumberFormat="1" applyFont="1" applyFill="1" applyBorder="1"/>
    <xf numFmtId="171" fontId="1" fillId="0" borderId="29" xfId="0" applyNumberFormat="1" applyFont="1" applyBorder="1"/>
    <xf numFmtId="0" fontId="20" fillId="0" borderId="30" xfId="0" applyFont="1" applyBorder="1"/>
    <xf numFmtId="9" fontId="1" fillId="14" borderId="1" xfId="0" applyNumberFormat="1" applyFont="1" applyFill="1" applyBorder="1"/>
    <xf numFmtId="171" fontId="1" fillId="0" borderId="10" xfId="0" applyNumberFormat="1" applyFont="1" applyBorder="1"/>
    <xf numFmtId="0" fontId="21" fillId="0" borderId="0" xfId="0" applyFont="1"/>
    <xf numFmtId="9" fontId="8" fillId="14" borderId="1" xfId="0" applyNumberFormat="1" applyFont="1" applyFill="1" applyBorder="1"/>
    <xf numFmtId="172" fontId="20" fillId="0" borderId="0" xfId="0" applyNumberFormat="1" applyFont="1"/>
    <xf numFmtId="164" fontId="20" fillId="0" borderId="0" xfId="0" applyNumberFormat="1" applyFont="1"/>
    <xf numFmtId="0" fontId="20" fillId="0" borderId="12" xfId="0" applyFont="1" applyBorder="1"/>
    <xf numFmtId="165" fontId="21" fillId="0" borderId="35" xfId="0" applyNumberFormat="1" applyFont="1" applyBorder="1"/>
    <xf numFmtId="0" fontId="20" fillId="0" borderId="35" xfId="0" applyFont="1" applyBorder="1"/>
    <xf numFmtId="165" fontId="20" fillId="0" borderId="12" xfId="0" applyNumberFormat="1" applyFont="1" applyBorder="1"/>
    <xf numFmtId="9" fontId="1" fillId="14" borderId="21" xfId="0" applyNumberFormat="1" applyFont="1" applyFill="1" applyBorder="1"/>
    <xf numFmtId="171" fontId="1" fillId="0" borderId="36" xfId="0" applyNumberFormat="1" applyFont="1" applyBorder="1"/>
    <xf numFmtId="0" fontId="20" fillId="0" borderId="52" xfId="0" applyFont="1" applyBorder="1"/>
    <xf numFmtId="164" fontId="4" fillId="2" borderId="3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wrapText="1"/>
    </xf>
    <xf numFmtId="164" fontId="4" fillId="2" borderId="16" xfId="0" applyNumberFormat="1" applyFont="1" applyFill="1" applyBorder="1" applyAlignment="1">
      <alignment wrapText="1"/>
    </xf>
    <xf numFmtId="165" fontId="23" fillId="0" borderId="29" xfId="0" applyNumberFormat="1" applyFont="1" applyBorder="1"/>
    <xf numFmtId="0" fontId="23" fillId="0" borderId="31" xfId="0" applyFont="1" applyBorder="1"/>
    <xf numFmtId="0" fontId="23" fillId="0" borderId="30" xfId="0" applyFont="1" applyBorder="1"/>
    <xf numFmtId="165" fontId="23" fillId="0" borderId="10" xfId="0" applyNumberFormat="1" applyFont="1" applyBorder="1"/>
    <xf numFmtId="165" fontId="21" fillId="0" borderId="10" xfId="0" applyNumberFormat="1" applyFont="1" applyBorder="1"/>
    <xf numFmtId="0" fontId="21" fillId="0" borderId="13" xfId="0" applyFont="1" applyBorder="1"/>
    <xf numFmtId="172" fontId="23" fillId="0" borderId="0" xfId="0" applyNumberFormat="1" applyFont="1"/>
    <xf numFmtId="164" fontId="23" fillId="0" borderId="0" xfId="0" applyNumberFormat="1" applyFont="1"/>
    <xf numFmtId="164" fontId="23" fillId="0" borderId="13" xfId="0" applyNumberFormat="1" applyFont="1" applyBorder="1"/>
    <xf numFmtId="165" fontId="21" fillId="0" borderId="36" xfId="0" applyNumberFormat="1" applyFont="1" applyBorder="1"/>
    <xf numFmtId="164" fontId="6" fillId="3" borderId="4" xfId="0" applyNumberFormat="1" applyFont="1" applyFill="1" applyBorder="1" applyAlignment="1">
      <alignment wrapText="1"/>
    </xf>
    <xf numFmtId="0" fontId="20" fillId="0" borderId="10" xfId="0" applyFont="1" applyBorder="1"/>
    <xf numFmtId="9" fontId="20" fillId="0" borderId="0" xfId="0" applyNumberFormat="1" applyFont="1"/>
    <xf numFmtId="9" fontId="20" fillId="0" borderId="13" xfId="0" applyNumberFormat="1" applyFont="1" applyBorder="1"/>
    <xf numFmtId="0" fontId="40" fillId="25" borderId="24" xfId="0" applyFont="1" applyFill="1" applyBorder="1"/>
    <xf numFmtId="0" fontId="40" fillId="25" borderId="1" xfId="0" applyFont="1" applyFill="1" applyBorder="1"/>
    <xf numFmtId="0" fontId="40" fillId="25" borderId="23" xfId="0" applyFont="1" applyFill="1" applyBorder="1"/>
    <xf numFmtId="1" fontId="20" fillId="0" borderId="10" xfId="0" applyNumberFormat="1" applyFont="1" applyBorder="1"/>
    <xf numFmtId="1" fontId="20" fillId="0" borderId="0" xfId="0" applyNumberFormat="1" applyFont="1"/>
    <xf numFmtId="1" fontId="20" fillId="0" borderId="9" xfId="0" applyNumberFormat="1" applyFont="1" applyBorder="1"/>
    <xf numFmtId="0" fontId="40" fillId="25" borderId="21" xfId="0" applyFont="1" applyFill="1" applyBorder="1"/>
    <xf numFmtId="9" fontId="20" fillId="0" borderId="35" xfId="0" applyNumberFormat="1" applyFont="1" applyBorder="1"/>
    <xf numFmtId="9" fontId="20" fillId="0" borderId="52" xfId="0" applyNumberFormat="1" applyFont="1" applyBorder="1"/>
    <xf numFmtId="165" fontId="6" fillId="3" borderId="6" xfId="0" applyNumberFormat="1" applyFont="1" applyFill="1" applyBorder="1" applyAlignment="1">
      <alignment wrapText="1"/>
    </xf>
    <xf numFmtId="165" fontId="6" fillId="3" borderId="16" xfId="0" applyNumberFormat="1" applyFont="1" applyFill="1" applyBorder="1" applyAlignment="1">
      <alignment wrapText="1"/>
    </xf>
    <xf numFmtId="165" fontId="33" fillId="2" borderId="6" xfId="0" applyNumberFormat="1" applyFont="1" applyFill="1" applyBorder="1" applyAlignment="1">
      <alignment vertical="center" wrapText="1"/>
    </xf>
    <xf numFmtId="165" fontId="33" fillId="2" borderId="16" xfId="0" applyNumberFormat="1" applyFont="1" applyFill="1" applyBorder="1" applyAlignment="1">
      <alignment vertical="center" wrapText="1"/>
    </xf>
    <xf numFmtId="0" fontId="22" fillId="4" borderId="24" xfId="0" applyFont="1" applyFill="1" applyBorder="1"/>
    <xf numFmtId="169" fontId="20" fillId="23" borderId="1" xfId="0" applyNumberFormat="1" applyFont="1" applyFill="1" applyBorder="1"/>
    <xf numFmtId="0" fontId="22" fillId="23" borderId="23" xfId="0" applyFont="1" applyFill="1" applyBorder="1"/>
    <xf numFmtId="0" fontId="20" fillId="0" borderId="29" xfId="0" applyFont="1" applyBorder="1"/>
    <xf numFmtId="169" fontId="20" fillId="19" borderId="3" xfId="0" applyNumberFormat="1" applyFont="1" applyFill="1" applyBorder="1"/>
    <xf numFmtId="169" fontId="21" fillId="19" borderId="3" xfId="0" applyNumberFormat="1" applyFont="1" applyFill="1" applyBorder="1"/>
    <xf numFmtId="169" fontId="20" fillId="0" borderId="31" xfId="0" applyNumberFormat="1" applyFont="1" applyBorder="1"/>
    <xf numFmtId="165" fontId="22" fillId="12" borderId="4" xfId="0" applyNumberFormat="1" applyFont="1" applyFill="1" applyBorder="1"/>
    <xf numFmtId="169" fontId="20" fillId="19" borderId="1" xfId="0" applyNumberFormat="1" applyFont="1" applyFill="1" applyBorder="1"/>
    <xf numFmtId="169" fontId="21" fillId="19" borderId="1" xfId="0" applyNumberFormat="1" applyFont="1" applyFill="1" applyBorder="1"/>
    <xf numFmtId="169" fontId="20" fillId="0" borderId="0" xfId="0" applyNumberFormat="1" applyFont="1"/>
    <xf numFmtId="165" fontId="22" fillId="12" borderId="23" xfId="0" applyNumberFormat="1" applyFont="1" applyFill="1" applyBorder="1"/>
    <xf numFmtId="169" fontId="23" fillId="0" borderId="0" xfId="0" applyNumberFormat="1" applyFont="1"/>
    <xf numFmtId="169" fontId="20" fillId="20" borderId="1" xfId="0" applyNumberFormat="1" applyFont="1" applyFill="1" applyBorder="1"/>
    <xf numFmtId="169" fontId="21" fillId="20" borderId="1" xfId="0" applyNumberFormat="1" applyFont="1" applyFill="1" applyBorder="1"/>
    <xf numFmtId="0" fontId="41" fillId="0" borderId="0" xfId="0" applyFont="1"/>
    <xf numFmtId="0" fontId="22" fillId="0" borderId="10" xfId="0" applyFont="1" applyBorder="1"/>
    <xf numFmtId="165" fontId="20" fillId="0" borderId="13" xfId="0" applyNumberFormat="1" applyFont="1" applyBorder="1"/>
    <xf numFmtId="165" fontId="33" fillId="2" borderId="22" xfId="0" applyNumberFormat="1" applyFont="1" applyFill="1" applyBorder="1" applyAlignment="1">
      <alignment vertical="center" wrapText="1"/>
    </xf>
    <xf numFmtId="165" fontId="33" fillId="2" borderId="21" xfId="0" applyNumberFormat="1" applyFont="1" applyFill="1" applyBorder="1" applyAlignment="1">
      <alignment vertical="center" wrapText="1"/>
    </xf>
    <xf numFmtId="165" fontId="33" fillId="2" borderId="25" xfId="0" applyNumberFormat="1" applyFont="1" applyFill="1" applyBorder="1" applyAlignment="1">
      <alignment vertical="center" wrapText="1"/>
    </xf>
    <xf numFmtId="165" fontId="33" fillId="2" borderId="19" xfId="0" applyNumberFormat="1" applyFont="1" applyFill="1" applyBorder="1" applyAlignment="1">
      <alignment vertical="center" wrapText="1"/>
    </xf>
    <xf numFmtId="165" fontId="42" fillId="2" borderId="19" xfId="0" applyNumberFormat="1" applyFont="1" applyFill="1" applyBorder="1" applyAlignment="1">
      <alignment vertical="center" wrapText="1"/>
    </xf>
    <xf numFmtId="0" fontId="18" fillId="0" borderId="10" xfId="0" applyFont="1" applyBorder="1"/>
    <xf numFmtId="165" fontId="22" fillId="0" borderId="13" xfId="0" applyNumberFormat="1" applyFont="1" applyBorder="1"/>
    <xf numFmtId="0" fontId="20" fillId="4" borderId="1" xfId="0" applyFont="1" applyFill="1" applyBorder="1"/>
    <xf numFmtId="0" fontId="18" fillId="0" borderId="0" xfId="0" applyFont="1" applyAlignment="1">
      <alignment vertical="center"/>
    </xf>
    <xf numFmtId="0" fontId="18" fillId="0" borderId="35" xfId="0" applyFont="1" applyBorder="1" applyAlignment="1">
      <alignment wrapText="1"/>
    </xf>
    <xf numFmtId="0" fontId="18" fillId="27" borderId="2" xfId="0" applyFont="1" applyFill="1" applyBorder="1" applyAlignment="1">
      <alignment wrapText="1"/>
    </xf>
    <xf numFmtId="0" fontId="18" fillId="27" borderId="16" xfId="0" applyFont="1" applyFill="1" applyBorder="1" applyAlignment="1">
      <alignment wrapText="1"/>
    </xf>
    <xf numFmtId="0" fontId="18" fillId="28" borderId="2" xfId="0" applyFont="1" applyFill="1" applyBorder="1" applyAlignment="1">
      <alignment vertical="center"/>
    </xf>
    <xf numFmtId="173" fontId="18" fillId="28" borderId="2" xfId="0" applyNumberFormat="1" applyFont="1" applyFill="1" applyBorder="1" applyAlignment="1">
      <alignment vertical="center"/>
    </xf>
    <xf numFmtId="9" fontId="18" fillId="28" borderId="2" xfId="0" applyNumberFormat="1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174" fontId="18" fillId="0" borderId="2" xfId="0" applyNumberFormat="1" applyFont="1" applyBorder="1" applyAlignment="1">
      <alignment horizontal="right" vertical="center"/>
    </xf>
    <xf numFmtId="175" fontId="18" fillId="4" borderId="2" xfId="0" applyNumberFormat="1" applyFont="1" applyFill="1" applyBorder="1" applyAlignment="1">
      <alignment vertical="center"/>
    </xf>
    <xf numFmtId="173" fontId="18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175" fontId="18" fillId="0" borderId="2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1" fillId="0" borderId="2" xfId="0" applyFont="1" applyBorder="1" applyAlignment="1">
      <alignment vertical="center"/>
    </xf>
    <xf numFmtId="175" fontId="41" fillId="0" borderId="2" xfId="0" applyNumberFormat="1" applyFont="1" applyBorder="1" applyAlignment="1">
      <alignment vertical="center"/>
    </xf>
    <xf numFmtId="173" fontId="41" fillId="0" borderId="2" xfId="0" applyNumberFormat="1" applyFont="1" applyBorder="1" applyAlignment="1">
      <alignment vertical="center"/>
    </xf>
    <xf numFmtId="0" fontId="18" fillId="0" borderId="31" xfId="0" applyFont="1" applyBorder="1" applyAlignment="1">
      <alignment wrapText="1"/>
    </xf>
    <xf numFmtId="0" fontId="41" fillId="0" borderId="0" xfId="0" applyFont="1" applyAlignment="1">
      <alignment vertical="center"/>
    </xf>
    <xf numFmtId="0" fontId="39" fillId="29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165" fontId="5" fillId="2" borderId="3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vertical="center" wrapText="1"/>
    </xf>
    <xf numFmtId="164" fontId="34" fillId="3" borderId="3" xfId="0" applyNumberFormat="1" applyFont="1" applyFill="1" applyBorder="1" applyAlignment="1">
      <alignment wrapText="1"/>
    </xf>
    <xf numFmtId="10" fontId="22" fillId="3" borderId="3" xfId="0" applyNumberFormat="1" applyFont="1" applyFill="1" applyBorder="1" applyAlignment="1">
      <alignment horizont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vertical="center"/>
    </xf>
    <xf numFmtId="164" fontId="1" fillId="12" borderId="1" xfId="0" applyNumberFormat="1" applyFont="1" applyFill="1" applyBorder="1" applyAlignment="1">
      <alignment wrapText="1"/>
    </xf>
    <xf numFmtId="165" fontId="20" fillId="0" borderId="0" xfId="0" applyNumberFormat="1" applyFont="1" applyAlignment="1">
      <alignment horizontal="center"/>
    </xf>
    <xf numFmtId="176" fontId="1" fillId="12" borderId="1" xfId="0" applyNumberFormat="1" applyFont="1" applyFill="1" applyBorder="1" applyAlignment="1">
      <alignment horizontal="center" wrapText="1"/>
    </xf>
    <xf numFmtId="167" fontId="20" fillId="0" borderId="10" xfId="0" applyNumberFormat="1" applyFont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176" fontId="20" fillId="0" borderId="13" xfId="0" applyNumberFormat="1" applyFont="1" applyBorder="1" applyAlignment="1">
      <alignment horizontal="center"/>
    </xf>
    <xf numFmtId="167" fontId="20" fillId="13" borderId="1" xfId="0" applyNumberFormat="1" applyFont="1" applyFill="1" applyBorder="1" applyAlignment="1">
      <alignment horizontal="center"/>
    </xf>
    <xf numFmtId="167" fontId="21" fillId="13" borderId="24" xfId="0" applyNumberFormat="1" applyFont="1" applyFill="1" applyBorder="1" applyAlignment="1">
      <alignment horizontal="center"/>
    </xf>
    <xf numFmtId="167" fontId="20" fillId="0" borderId="13" xfId="0" applyNumberFormat="1" applyFont="1" applyBorder="1" applyAlignment="1">
      <alignment horizontal="center"/>
    </xf>
    <xf numFmtId="176" fontId="1" fillId="12" borderId="21" xfId="0" applyNumberFormat="1" applyFont="1" applyFill="1" applyBorder="1" applyAlignment="1">
      <alignment horizontal="center" wrapText="1"/>
    </xf>
    <xf numFmtId="0" fontId="18" fillId="0" borderId="31" xfId="0" applyFont="1" applyBorder="1"/>
    <xf numFmtId="165" fontId="6" fillId="0" borderId="31" xfId="0" applyNumberFormat="1" applyFont="1" applyBorder="1" applyAlignment="1">
      <alignment wrapText="1"/>
    </xf>
    <xf numFmtId="164" fontId="6" fillId="0" borderId="31" xfId="0" applyNumberFormat="1" applyFont="1" applyBorder="1" applyAlignment="1">
      <alignment wrapText="1"/>
    </xf>
    <xf numFmtId="165" fontId="6" fillId="0" borderId="31" xfId="0" applyNumberFormat="1" applyFont="1" applyBorder="1" applyAlignment="1">
      <alignment horizontal="center" wrapText="1"/>
    </xf>
    <xf numFmtId="176" fontId="6" fillId="0" borderId="35" xfId="0" applyNumberFormat="1" applyFont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164" fontId="6" fillId="0" borderId="31" xfId="0" applyNumberFormat="1" applyFont="1" applyBorder="1" applyAlignment="1">
      <alignment horizontal="center" wrapText="1"/>
    </xf>
    <xf numFmtId="164" fontId="6" fillId="0" borderId="30" xfId="0" applyNumberFormat="1" applyFont="1" applyBorder="1" applyAlignment="1">
      <alignment horizontal="center" wrapText="1"/>
    </xf>
    <xf numFmtId="164" fontId="34" fillId="3" borderId="19" xfId="0" applyNumberFormat="1" applyFont="1" applyFill="1" applyBorder="1" applyAlignment="1">
      <alignment wrapText="1"/>
    </xf>
    <xf numFmtId="165" fontId="34" fillId="3" borderId="3" xfId="0" applyNumberFormat="1" applyFont="1" applyFill="1" applyBorder="1" applyAlignment="1">
      <alignment wrapText="1"/>
    </xf>
    <xf numFmtId="10" fontId="22" fillId="3" borderId="1" xfId="0" applyNumberFormat="1" applyFont="1" applyFill="1" applyBorder="1" applyAlignment="1">
      <alignment horizontal="center" wrapText="1"/>
    </xf>
    <xf numFmtId="164" fontId="1" fillId="0" borderId="36" xfId="0" applyNumberFormat="1" applyFont="1" applyBorder="1" applyAlignment="1">
      <alignment horizontal="left" vertical="center" wrapText="1"/>
    </xf>
    <xf numFmtId="165" fontId="1" fillId="0" borderId="35" xfId="0" applyNumberFormat="1" applyFont="1" applyBorder="1" applyAlignment="1">
      <alignment wrapText="1"/>
    </xf>
    <xf numFmtId="167" fontId="1" fillId="0" borderId="35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wrapText="1"/>
    </xf>
    <xf numFmtId="164" fontId="1" fillId="12" borderId="21" xfId="0" applyNumberFormat="1" applyFont="1" applyFill="1" applyBorder="1" applyAlignment="1">
      <alignment wrapText="1"/>
    </xf>
    <xf numFmtId="165" fontId="20" fillId="0" borderId="35" xfId="0" applyNumberFormat="1" applyFont="1" applyBorder="1" applyAlignment="1">
      <alignment horizontal="center"/>
    </xf>
    <xf numFmtId="167" fontId="20" fillId="0" borderId="36" xfId="0" applyNumberFormat="1" applyFont="1" applyBorder="1" applyAlignment="1">
      <alignment horizontal="center"/>
    </xf>
    <xf numFmtId="167" fontId="21" fillId="0" borderId="35" xfId="0" applyNumberFormat="1" applyFont="1" applyBorder="1" applyAlignment="1">
      <alignment horizontal="center"/>
    </xf>
    <xf numFmtId="176" fontId="20" fillId="0" borderId="52" xfId="0" applyNumberFormat="1" applyFont="1" applyBorder="1" applyAlignment="1">
      <alignment horizontal="center"/>
    </xf>
    <xf numFmtId="167" fontId="20" fillId="13" borderId="21" xfId="0" applyNumberFormat="1" applyFont="1" applyFill="1" applyBorder="1" applyAlignment="1">
      <alignment horizontal="center"/>
    </xf>
    <xf numFmtId="167" fontId="21" fillId="13" borderId="22" xfId="0" applyNumberFormat="1" applyFont="1" applyFill="1" applyBorder="1" applyAlignment="1">
      <alignment horizontal="center"/>
    </xf>
    <xf numFmtId="167" fontId="20" fillId="0" borderId="52" xfId="0" applyNumberFormat="1" applyFont="1" applyBorder="1" applyAlignment="1">
      <alignment horizontal="center"/>
    </xf>
    <xf numFmtId="165" fontId="20" fillId="12" borderId="2" xfId="0" applyNumberFormat="1" applyFont="1" applyFill="1" applyBorder="1"/>
    <xf numFmtId="0" fontId="18" fillId="0" borderId="36" xfId="0" applyFont="1" applyBorder="1"/>
    <xf numFmtId="167" fontId="20" fillId="0" borderId="35" xfId="0" applyNumberFormat="1" applyFont="1" applyBorder="1" applyAlignment="1">
      <alignment horizontal="center"/>
    </xf>
    <xf numFmtId="167" fontId="20" fillId="13" borderId="22" xfId="0" applyNumberFormat="1" applyFont="1" applyFill="1" applyBorder="1" applyAlignment="1">
      <alignment horizontal="center"/>
    </xf>
    <xf numFmtId="167" fontId="20" fillId="0" borderId="0" xfId="0" applyNumberFormat="1" applyFont="1" applyAlignment="1">
      <alignment horizontal="center"/>
    </xf>
    <xf numFmtId="167" fontId="20" fillId="13" borderId="24" xfId="0" applyNumberFormat="1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167" fontId="18" fillId="0" borderId="0" xfId="0" applyNumberFormat="1" applyFont="1"/>
    <xf numFmtId="166" fontId="18" fillId="0" borderId="0" xfId="0" applyNumberFormat="1" applyFont="1"/>
    <xf numFmtId="165" fontId="33" fillId="2" borderId="2" xfId="0" applyNumberFormat="1" applyFont="1" applyFill="1" applyBorder="1" applyAlignment="1">
      <alignment vertical="top" wrapText="1"/>
    </xf>
    <xf numFmtId="164" fontId="6" fillId="3" borderId="0" xfId="0" applyNumberFormat="1" applyFont="1" applyFill="1" applyAlignment="1">
      <alignment wrapText="1"/>
    </xf>
    <xf numFmtId="0" fontId="6" fillId="0" borderId="0" xfId="0" applyFont="1" applyAlignment="1">
      <alignment horizontal="right"/>
    </xf>
    <xf numFmtId="0" fontId="42" fillId="2" borderId="3" xfId="0" applyFont="1" applyFill="1" applyBorder="1" applyAlignment="1">
      <alignment vertical="top" wrapText="1"/>
    </xf>
    <xf numFmtId="165" fontId="33" fillId="2" borderId="3" xfId="0" applyNumberFormat="1" applyFont="1" applyFill="1" applyBorder="1" applyAlignment="1">
      <alignment vertical="top" wrapText="1"/>
    </xf>
    <xf numFmtId="164" fontId="6" fillId="3" borderId="24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vertical="top" wrapText="1"/>
    </xf>
    <xf numFmtId="165" fontId="5" fillId="2" borderId="16" xfId="0" applyNumberFormat="1" applyFont="1" applyFill="1" applyBorder="1" applyAlignment="1">
      <alignment vertical="top" wrapText="1"/>
    </xf>
    <xf numFmtId="164" fontId="6" fillId="3" borderId="23" xfId="0" applyNumberFormat="1" applyFont="1" applyFill="1" applyBorder="1" applyAlignment="1">
      <alignment vertical="top" wrapText="1"/>
    </xf>
    <xf numFmtId="165" fontId="5" fillId="2" borderId="15" xfId="0" applyNumberFormat="1" applyFont="1" applyFill="1" applyBorder="1" applyAlignment="1">
      <alignment vertical="top" wrapText="1"/>
    </xf>
    <xf numFmtId="165" fontId="14" fillId="0" borderId="0" xfId="0" applyNumberFormat="1" applyFont="1" applyAlignment="1">
      <alignment vertical="center" wrapText="1"/>
    </xf>
    <xf numFmtId="165" fontId="33" fillId="0" borderId="0" xfId="0" applyNumberFormat="1" applyFont="1" applyAlignment="1">
      <alignment vertical="center" wrapText="1"/>
    </xf>
    <xf numFmtId="164" fontId="6" fillId="0" borderId="10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13" xfId="0" applyNumberFormat="1" applyFont="1" applyBorder="1" applyAlignment="1">
      <alignment wrapText="1"/>
    </xf>
    <xf numFmtId="165" fontId="33" fillId="0" borderId="29" xfId="0" applyNumberFormat="1" applyFont="1" applyBorder="1" applyAlignment="1">
      <alignment vertical="center" wrapText="1"/>
    </xf>
    <xf numFmtId="165" fontId="33" fillId="0" borderId="30" xfId="0" applyNumberFormat="1" applyFont="1" applyBorder="1" applyAlignment="1">
      <alignment vertical="center" wrapText="1"/>
    </xf>
    <xf numFmtId="165" fontId="8" fillId="0" borderId="0" xfId="0" applyNumberFormat="1" applyFont="1" applyAlignment="1">
      <alignment wrapText="1"/>
    </xf>
    <xf numFmtId="165" fontId="6" fillId="3" borderId="54" xfId="0" applyNumberFormat="1" applyFont="1" applyFill="1" applyBorder="1" applyAlignment="1">
      <alignment wrapText="1"/>
    </xf>
    <xf numFmtId="165" fontId="6" fillId="0" borderId="13" xfId="0" applyNumberFormat="1" applyFont="1" applyBorder="1"/>
    <xf numFmtId="165" fontId="3" fillId="0" borderId="0" xfId="0" applyNumberFormat="1" applyFont="1" applyAlignment="1">
      <alignment wrapText="1"/>
    </xf>
    <xf numFmtId="165" fontId="6" fillId="0" borderId="0" xfId="0" applyNumberFormat="1" applyFont="1"/>
    <xf numFmtId="164" fontId="3" fillId="0" borderId="0" xfId="0" applyNumberFormat="1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165" fontId="1" fillId="0" borderId="36" xfId="0" applyNumberFormat="1" applyFont="1" applyBorder="1"/>
    <xf numFmtId="0" fontId="1" fillId="0" borderId="35" xfId="0" applyFont="1" applyBorder="1"/>
    <xf numFmtId="0" fontId="1" fillId="0" borderId="52" xfId="0" applyFont="1" applyBorder="1"/>
    <xf numFmtId="164" fontId="6" fillId="3" borderId="16" xfId="0" applyNumberFormat="1" applyFont="1" applyFill="1" applyBorder="1" applyAlignment="1">
      <alignment wrapText="1"/>
    </xf>
    <xf numFmtId="164" fontId="6" fillId="3" borderId="54" xfId="0" applyNumberFormat="1" applyFont="1" applyFill="1" applyBorder="1" applyAlignment="1">
      <alignment wrapText="1"/>
    </xf>
    <xf numFmtId="164" fontId="6" fillId="3" borderId="41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/>
    <xf numFmtId="164" fontId="1" fillId="0" borderId="35" xfId="0" applyNumberFormat="1" applyFont="1" applyBorder="1"/>
    <xf numFmtId="164" fontId="1" fillId="0" borderId="52" xfId="0" applyNumberFormat="1" applyFont="1" applyBorder="1"/>
    <xf numFmtId="164" fontId="6" fillId="3" borderId="20" xfId="0" applyNumberFormat="1" applyFont="1" applyFill="1" applyBorder="1" applyAlignment="1">
      <alignment horizontal="center" wrapText="1"/>
    </xf>
    <xf numFmtId="164" fontId="6" fillId="3" borderId="20" xfId="0" applyNumberFormat="1" applyFont="1" applyFill="1" applyBorder="1" applyAlignment="1">
      <alignment wrapText="1"/>
    </xf>
    <xf numFmtId="164" fontId="1" fillId="5" borderId="11" xfId="0" applyNumberFormat="1" applyFont="1" applyFill="1" applyBorder="1"/>
    <xf numFmtId="0" fontId="45" fillId="0" borderId="0" xfId="0" applyFont="1" applyAlignment="1">
      <alignment horizontal="left"/>
    </xf>
    <xf numFmtId="0" fontId="1" fillId="5" borderId="11" xfId="0" applyFont="1" applyFill="1" applyBorder="1"/>
    <xf numFmtId="166" fontId="1" fillId="0" borderId="10" xfId="0" applyNumberFormat="1" applyFont="1" applyBorder="1"/>
    <xf numFmtId="166" fontId="1" fillId="0" borderId="9" xfId="0" applyNumberFormat="1" applyFont="1" applyBorder="1"/>
    <xf numFmtId="166" fontId="1" fillId="5" borderId="11" xfId="0" applyNumberFormat="1" applyFont="1" applyFill="1" applyBorder="1"/>
    <xf numFmtId="0" fontId="29" fillId="13" borderId="1" xfId="0" applyFont="1" applyFill="1" applyBorder="1" applyAlignment="1">
      <alignment horizontal="left"/>
    </xf>
    <xf numFmtId="0" fontId="6" fillId="13" borderId="1" xfId="0" applyFont="1" applyFill="1" applyBorder="1"/>
    <xf numFmtId="0" fontId="29" fillId="13" borderId="55" xfId="0" applyFont="1" applyFill="1" applyBorder="1"/>
    <xf numFmtId="0" fontId="29" fillId="13" borderId="24" xfId="0" applyFont="1" applyFill="1" applyBorder="1"/>
    <xf numFmtId="0" fontId="29" fillId="13" borderId="1" xfId="0" applyFont="1" applyFill="1" applyBorder="1"/>
    <xf numFmtId="0" fontId="29" fillId="13" borderId="23" xfId="0" applyFont="1" applyFill="1" applyBorder="1"/>
    <xf numFmtId="166" fontId="29" fillId="13" borderId="24" xfId="0" applyNumberFormat="1" applyFont="1" applyFill="1" applyBorder="1"/>
    <xf numFmtId="166" fontId="29" fillId="13" borderId="1" xfId="0" applyNumberFormat="1" applyFont="1" applyFill="1" applyBorder="1"/>
    <xf numFmtId="166" fontId="29" fillId="13" borderId="11" xfId="0" applyNumberFormat="1" applyFont="1" applyFill="1" applyBorder="1"/>
    <xf numFmtId="164" fontId="29" fillId="13" borderId="11" xfId="0" applyNumberFormat="1" applyFont="1" applyFill="1" applyBorder="1"/>
    <xf numFmtId="0" fontId="29" fillId="0" borderId="0" xfId="0" applyFont="1" applyAlignment="1">
      <alignment horizontal="left"/>
    </xf>
    <xf numFmtId="0" fontId="29" fillId="0" borderId="10" xfId="0" applyFont="1" applyBorder="1"/>
    <xf numFmtId="0" fontId="29" fillId="0" borderId="13" xfId="0" applyFont="1" applyBorder="1"/>
    <xf numFmtId="166" fontId="29" fillId="0" borderId="10" xfId="0" applyNumberFormat="1" applyFont="1" applyBorder="1"/>
    <xf numFmtId="166" fontId="29" fillId="0" borderId="0" xfId="0" applyNumberFormat="1" applyFont="1"/>
    <xf numFmtId="166" fontId="29" fillId="0" borderId="9" xfId="0" applyNumberFormat="1" applyFont="1" applyBorder="1"/>
    <xf numFmtId="164" fontId="29" fillId="5" borderId="11" xfId="0" applyNumberFormat="1" applyFont="1" applyFill="1" applyBorder="1"/>
    <xf numFmtId="165" fontId="29" fillId="13" borderId="1" xfId="0" applyNumberFormat="1" applyFont="1" applyFill="1" applyBorder="1"/>
    <xf numFmtId="165" fontId="29" fillId="13" borderId="23" xfId="0" applyNumberFormat="1" applyFont="1" applyFill="1" applyBorder="1"/>
    <xf numFmtId="166" fontId="6" fillId="0" borderId="0" xfId="0" applyNumberFormat="1" applyFont="1"/>
    <xf numFmtId="0" fontId="6" fillId="17" borderId="1" xfId="0" applyFont="1" applyFill="1" applyBorder="1" applyAlignment="1">
      <alignment horizontal="left"/>
    </xf>
    <xf numFmtId="0" fontId="6" fillId="17" borderId="1" xfId="0" applyFont="1" applyFill="1" applyBorder="1"/>
    <xf numFmtId="0" fontId="6" fillId="17" borderId="55" xfId="0" applyFont="1" applyFill="1" applyBorder="1"/>
    <xf numFmtId="0" fontId="6" fillId="17" borderId="24" xfId="0" applyFont="1" applyFill="1" applyBorder="1"/>
    <xf numFmtId="165" fontId="6" fillId="17" borderId="1" xfId="0" applyNumberFormat="1" applyFont="1" applyFill="1" applyBorder="1"/>
    <xf numFmtId="165" fontId="6" fillId="17" borderId="23" xfId="0" applyNumberFormat="1" applyFont="1" applyFill="1" applyBorder="1"/>
    <xf numFmtId="166" fontId="6" fillId="17" borderId="24" xfId="0" applyNumberFormat="1" applyFont="1" applyFill="1" applyBorder="1"/>
    <xf numFmtId="166" fontId="6" fillId="17" borderId="1" xfId="0" applyNumberFormat="1" applyFont="1" applyFill="1" applyBorder="1"/>
    <xf numFmtId="166" fontId="6" fillId="17" borderId="11" xfId="0" applyNumberFormat="1" applyFont="1" applyFill="1" applyBorder="1"/>
    <xf numFmtId="164" fontId="6" fillId="17" borderId="11" xfId="0" applyNumberFormat="1" applyFont="1" applyFill="1" applyBorder="1"/>
    <xf numFmtId="165" fontId="6" fillId="17" borderId="55" xfId="0" applyNumberFormat="1" applyFont="1" applyFill="1" applyBorder="1"/>
    <xf numFmtId="165" fontId="6" fillId="17" borderId="24" xfId="0" applyNumberFormat="1" applyFont="1" applyFill="1" applyBorder="1"/>
    <xf numFmtId="164" fontId="6" fillId="30" borderId="6" xfId="0" applyNumberFormat="1" applyFont="1" applyFill="1" applyBorder="1" applyAlignment="1">
      <alignment wrapText="1"/>
    </xf>
    <xf numFmtId="164" fontId="6" fillId="30" borderId="7" xfId="0" applyNumberFormat="1" applyFont="1" applyFill="1" applyBorder="1" applyAlignment="1">
      <alignment wrapText="1"/>
    </xf>
    <xf numFmtId="165" fontId="6" fillId="30" borderId="54" xfId="0" applyNumberFormat="1" applyFont="1" applyFill="1" applyBorder="1" applyAlignment="1">
      <alignment wrapText="1"/>
    </xf>
    <xf numFmtId="165" fontId="6" fillId="30" borderId="6" xfId="0" applyNumberFormat="1" applyFont="1" applyFill="1" applyBorder="1" applyAlignment="1">
      <alignment wrapText="1"/>
    </xf>
    <xf numFmtId="165" fontId="6" fillId="30" borderId="7" xfId="0" applyNumberFormat="1" applyFont="1" applyFill="1" applyBorder="1" applyAlignment="1">
      <alignment wrapText="1"/>
    </xf>
    <xf numFmtId="165" fontId="6" fillId="30" borderId="16" xfId="0" applyNumberFormat="1" applyFont="1" applyFill="1" applyBorder="1" applyAlignment="1">
      <alignment wrapText="1"/>
    </xf>
    <xf numFmtId="164" fontId="6" fillId="30" borderId="2" xfId="0" applyNumberFormat="1" applyFont="1" applyFill="1" applyBorder="1" applyAlignment="1">
      <alignment wrapText="1"/>
    </xf>
    <xf numFmtId="0" fontId="6" fillId="0" borderId="29" xfId="0" applyFont="1" applyBorder="1"/>
    <xf numFmtId="0" fontId="1" fillId="0" borderId="31" xfId="0" applyFont="1" applyBorder="1"/>
    <xf numFmtId="166" fontId="1" fillId="20" borderId="3" xfId="0" applyNumberFormat="1" applyFont="1" applyFill="1" applyBorder="1"/>
    <xf numFmtId="0" fontId="1" fillId="20" borderId="3" xfId="0" applyFont="1" applyFill="1" applyBorder="1"/>
    <xf numFmtId="166" fontId="6" fillId="5" borderId="4" xfId="0" applyNumberFormat="1" applyFont="1" applyFill="1" applyBorder="1"/>
    <xf numFmtId="0" fontId="6" fillId="0" borderId="36" xfId="0" applyFont="1" applyBorder="1"/>
    <xf numFmtId="166" fontId="1" fillId="0" borderId="35" xfId="0" applyNumberFormat="1" applyFont="1" applyBorder="1"/>
    <xf numFmtId="166" fontId="1" fillId="20" borderId="21" xfId="0" applyNumberFormat="1" applyFont="1" applyFill="1" applyBorder="1"/>
    <xf numFmtId="166" fontId="6" fillId="5" borderId="25" xfId="0" applyNumberFormat="1" applyFont="1" applyFill="1" applyBorder="1"/>
    <xf numFmtId="165" fontId="42" fillId="2" borderId="3" xfId="0" applyNumberFormat="1" applyFont="1" applyFill="1" applyBorder="1" applyAlignment="1">
      <alignment vertical="top" wrapText="1"/>
    </xf>
    <xf numFmtId="164" fontId="6" fillId="3" borderId="33" xfId="0" applyNumberFormat="1" applyFont="1" applyFill="1" applyBorder="1" applyAlignment="1">
      <alignment vertical="top" wrapText="1"/>
    </xf>
    <xf numFmtId="164" fontId="6" fillId="3" borderId="56" xfId="0" applyNumberFormat="1" applyFont="1" applyFill="1" applyBorder="1" applyAlignment="1">
      <alignment vertical="top" wrapText="1"/>
    </xf>
    <xf numFmtId="164" fontId="6" fillId="3" borderId="57" xfId="0" applyNumberFormat="1" applyFont="1" applyFill="1" applyBorder="1" applyAlignment="1">
      <alignment vertical="top" wrapText="1"/>
    </xf>
    <xf numFmtId="164" fontId="6" fillId="3" borderId="4" xfId="0" applyNumberFormat="1" applyFont="1" applyFill="1" applyBorder="1" applyAlignment="1">
      <alignment vertical="top" wrapText="1"/>
    </xf>
    <xf numFmtId="164" fontId="8" fillId="0" borderId="0" xfId="0" applyNumberFormat="1" applyFont="1" applyAlignment="1">
      <alignment wrapText="1"/>
    </xf>
    <xf numFmtId="165" fontId="6" fillId="3" borderId="0" xfId="0" applyNumberFormat="1" applyFont="1" applyFill="1" applyAlignment="1">
      <alignment wrapText="1"/>
    </xf>
    <xf numFmtId="165" fontId="6" fillId="3" borderId="35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13" borderId="58" xfId="0" applyFont="1" applyFill="1" applyBorder="1"/>
    <xf numFmtId="0" fontId="1" fillId="0" borderId="30" xfId="0" applyFont="1" applyBorder="1"/>
    <xf numFmtId="165" fontId="20" fillId="24" borderId="25" xfId="0" applyNumberFormat="1" applyFont="1" applyFill="1" applyBorder="1"/>
    <xf numFmtId="166" fontId="6" fillId="3" borderId="6" xfId="0" applyNumberFormat="1" applyFont="1" applyFill="1" applyBorder="1" applyAlignment="1">
      <alignment wrapText="1"/>
    </xf>
    <xf numFmtId="166" fontId="6" fillId="3" borderId="2" xfId="0" applyNumberFormat="1" applyFont="1" applyFill="1" applyBorder="1" applyAlignment="1">
      <alignment wrapText="1"/>
    </xf>
    <xf numFmtId="166" fontId="6" fillId="3" borderId="5" xfId="0" applyNumberFormat="1" applyFont="1" applyFill="1" applyBorder="1" applyAlignment="1">
      <alignment wrapText="1"/>
    </xf>
    <xf numFmtId="165" fontId="1" fillId="0" borderId="32" xfId="0" applyNumberFormat="1" applyFont="1" applyBorder="1"/>
    <xf numFmtId="172" fontId="1" fillId="0" borderId="32" xfId="0" applyNumberFormat="1" applyFont="1" applyBorder="1" applyAlignment="1">
      <alignment horizontal="left"/>
    </xf>
    <xf numFmtId="165" fontId="1" fillId="0" borderId="12" xfId="0" applyNumberFormat="1" applyFont="1" applyBorder="1"/>
    <xf numFmtId="166" fontId="1" fillId="0" borderId="12" xfId="0" applyNumberFormat="1" applyFont="1" applyBorder="1"/>
    <xf numFmtId="166" fontId="6" fillId="3" borderId="6" xfId="0" applyNumberFormat="1" applyFont="1" applyFill="1" applyBorder="1" applyAlignment="1">
      <alignment horizontal="right" wrapText="1"/>
    </xf>
    <xf numFmtId="165" fontId="1" fillId="20" borderId="2" xfId="0" applyNumberFormat="1" applyFont="1" applyFill="1" applyBorder="1"/>
    <xf numFmtId="165" fontId="1" fillId="20" borderId="14" xfId="0" applyNumberFormat="1" applyFont="1" applyFill="1" applyBorder="1"/>
    <xf numFmtId="169" fontId="1" fillId="20" borderId="2" xfId="0" applyNumberFormat="1" applyFont="1" applyFill="1" applyBorder="1"/>
    <xf numFmtId="0" fontId="18" fillId="0" borderId="8" xfId="0" applyFont="1" applyBorder="1"/>
    <xf numFmtId="0" fontId="20" fillId="4" borderId="2" xfId="0" applyFont="1" applyFill="1" applyBorder="1"/>
    <xf numFmtId="165" fontId="1" fillId="4" borderId="2" xfId="0" applyNumberFormat="1" applyFont="1" applyFill="1" applyBorder="1"/>
    <xf numFmtId="165" fontId="1" fillId="0" borderId="2" xfId="0" applyNumberFormat="1" applyFont="1" applyBorder="1"/>
    <xf numFmtId="166" fontId="1" fillId="4" borderId="2" xfId="0" applyNumberFormat="1" applyFont="1" applyFill="1" applyBorder="1"/>
    <xf numFmtId="0" fontId="46" fillId="0" borderId="2" xfId="0" applyFont="1" applyBorder="1"/>
    <xf numFmtId="0" fontId="46" fillId="0" borderId="8" xfId="0" applyFont="1" applyBorder="1"/>
    <xf numFmtId="0" fontId="46" fillId="0" borderId="59" xfId="0" applyFont="1" applyBorder="1"/>
    <xf numFmtId="0" fontId="46" fillId="0" borderId="60" xfId="0" applyFont="1" applyBorder="1"/>
    <xf numFmtId="0" fontId="46" fillId="0" borderId="15" xfId="0" applyFont="1" applyBorder="1"/>
    <xf numFmtId="0" fontId="18" fillId="4" borderId="2" xfId="0" applyFont="1" applyFill="1" applyBorder="1"/>
    <xf numFmtId="0" fontId="47" fillId="0" borderId="2" xfId="0" applyFont="1" applyBorder="1"/>
    <xf numFmtId="0" fontId="47" fillId="0" borderId="8" xfId="0" applyFont="1" applyBorder="1"/>
    <xf numFmtId="0" fontId="47" fillId="0" borderId="61" xfId="0" applyFont="1" applyBorder="1"/>
    <xf numFmtId="0" fontId="47" fillId="0" borderId="62" xfId="0" applyFont="1" applyBorder="1"/>
    <xf numFmtId="0" fontId="47" fillId="0" borderId="15" xfId="0" applyFont="1" applyBorder="1"/>
    <xf numFmtId="0" fontId="20" fillId="0" borderId="2" xfId="0" applyFont="1" applyBorder="1"/>
    <xf numFmtId="177" fontId="47" fillId="0" borderId="2" xfId="0" applyNumberFormat="1" applyFont="1" applyBorder="1"/>
    <xf numFmtId="0" fontId="47" fillId="0" borderId="0" xfId="0" applyFont="1"/>
    <xf numFmtId="0" fontId="47" fillId="31" borderId="1" xfId="0" applyFont="1" applyFill="1" applyBorder="1"/>
    <xf numFmtId="0" fontId="18" fillId="0" borderId="63" xfId="0" applyFont="1" applyBorder="1"/>
    <xf numFmtId="0" fontId="18" fillId="0" borderId="64" xfId="0" applyFont="1" applyBorder="1"/>
    <xf numFmtId="0" fontId="47" fillId="0" borderId="63" xfId="0" applyFont="1" applyBorder="1"/>
    <xf numFmtId="0" fontId="47" fillId="0" borderId="64" xfId="0" applyFont="1" applyBorder="1"/>
    <xf numFmtId="178" fontId="18" fillId="0" borderId="2" xfId="0" applyNumberFormat="1" applyFont="1" applyBorder="1"/>
    <xf numFmtId="0" fontId="47" fillId="27" borderId="2" xfId="0" applyFont="1" applyFill="1" applyBorder="1"/>
    <xf numFmtId="0" fontId="47" fillId="27" borderId="2" xfId="0" applyFont="1" applyFill="1" applyBorder="1" applyAlignment="1">
      <alignment wrapText="1"/>
    </xf>
    <xf numFmtId="0" fontId="47" fillId="4" borderId="2" xfId="0" applyFont="1" applyFill="1" applyBorder="1"/>
    <xf numFmtId="178" fontId="47" fillId="0" borderId="2" xfId="0" applyNumberFormat="1" applyFont="1" applyBorder="1"/>
    <xf numFmtId="0" fontId="18" fillId="4" borderId="1" xfId="0" applyFont="1" applyFill="1" applyBorder="1" applyAlignment="1">
      <alignment wrapText="1"/>
    </xf>
    <xf numFmtId="0" fontId="47" fillId="0" borderId="59" xfId="0" applyFont="1" applyBorder="1"/>
    <xf numFmtId="0" fontId="47" fillId="0" borderId="65" xfId="0" applyFont="1" applyBorder="1"/>
    <xf numFmtId="0" fontId="47" fillId="0" borderId="66" xfId="0" applyFont="1" applyBorder="1"/>
    <xf numFmtId="0" fontId="47" fillId="0" borderId="67" xfId="0" applyFont="1" applyBorder="1"/>
    <xf numFmtId="0" fontId="47" fillId="0" borderId="60" xfId="0" applyFont="1" applyBorder="1"/>
    <xf numFmtId="0" fontId="47" fillId="0" borderId="68" xfId="0" applyFont="1" applyBorder="1"/>
    <xf numFmtId="0" fontId="47" fillId="0" borderId="69" xfId="0" applyFont="1" applyBorder="1"/>
    <xf numFmtId="0" fontId="47" fillId="0" borderId="70" xfId="0" applyFont="1" applyBorder="1"/>
    <xf numFmtId="0" fontId="47" fillId="0" borderId="20" xfId="0" applyFont="1" applyBorder="1"/>
    <xf numFmtId="0" fontId="47" fillId="0" borderId="71" xfId="0" applyFont="1" applyBorder="1"/>
    <xf numFmtId="0" fontId="47" fillId="0" borderId="31" xfId="0" applyFont="1" applyBorder="1"/>
    <xf numFmtId="0" fontId="47" fillId="0" borderId="72" xfId="0" applyFont="1" applyBorder="1"/>
    <xf numFmtId="0" fontId="47" fillId="0" borderId="73" xfId="0" applyFont="1" applyBorder="1"/>
    <xf numFmtId="0" fontId="47" fillId="0" borderId="74" xfId="0" applyFont="1" applyBorder="1"/>
    <xf numFmtId="0" fontId="47" fillId="0" borderId="75" xfId="0" applyFont="1" applyBorder="1"/>
    <xf numFmtId="0" fontId="47" fillId="0" borderId="76" xfId="0" applyFont="1" applyBorder="1"/>
    <xf numFmtId="0" fontId="47" fillId="0" borderId="77" xfId="0" applyFont="1" applyBorder="1"/>
    <xf numFmtId="0" fontId="47" fillId="0" borderId="78" xfId="0" applyFont="1" applyBorder="1"/>
    <xf numFmtId="0" fontId="47" fillId="0" borderId="79" xfId="0" applyFont="1" applyBorder="1"/>
    <xf numFmtId="0" fontId="47" fillId="0" borderId="35" xfId="0" applyFont="1" applyBorder="1"/>
    <xf numFmtId="0" fontId="47" fillId="0" borderId="80" xfId="0" applyFont="1" applyBorder="1"/>
    <xf numFmtId="0" fontId="41" fillId="4" borderId="19" xfId="0" applyFont="1" applyFill="1" applyBorder="1"/>
    <xf numFmtId="0" fontId="18" fillId="4" borderId="24" xfId="0" applyFont="1" applyFill="1" applyBorder="1"/>
    <xf numFmtId="0" fontId="18" fillId="4" borderId="1" xfId="0" applyFont="1" applyFill="1" applyBorder="1"/>
    <xf numFmtId="178" fontId="18" fillId="32" borderId="1" xfId="0" applyNumberFormat="1" applyFont="1" applyFill="1" applyBorder="1"/>
    <xf numFmtId="0" fontId="47" fillId="27" borderId="1" xfId="0" applyFont="1" applyFill="1" applyBorder="1"/>
    <xf numFmtId="179" fontId="18" fillId="32" borderId="1" xfId="0" applyNumberFormat="1" applyFont="1" applyFill="1" applyBorder="1"/>
    <xf numFmtId="0" fontId="18" fillId="4" borderId="22" xfId="0" applyFont="1" applyFill="1" applyBorder="1"/>
    <xf numFmtId="0" fontId="18" fillId="4" borderId="21" xfId="0" applyFont="1" applyFill="1" applyBorder="1"/>
    <xf numFmtId="179" fontId="18" fillId="32" borderId="21" xfId="0" applyNumberFormat="1" applyFont="1" applyFill="1" applyBorder="1"/>
    <xf numFmtId="0" fontId="41" fillId="4" borderId="19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8" fillId="4" borderId="4" xfId="0" applyFont="1" applyFill="1" applyBorder="1" applyAlignment="1">
      <alignment wrapText="1"/>
    </xf>
    <xf numFmtId="0" fontId="18" fillId="4" borderId="24" xfId="0" applyFont="1" applyFill="1" applyBorder="1" applyAlignment="1">
      <alignment wrapText="1"/>
    </xf>
    <xf numFmtId="0" fontId="18" fillId="32" borderId="1" xfId="0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0" fontId="20" fillId="4" borderId="24" xfId="0" applyFont="1" applyFill="1" applyBorder="1"/>
    <xf numFmtId="0" fontId="18" fillId="4" borderId="81" xfId="0" applyFont="1" applyFill="1" applyBorder="1" applyAlignment="1">
      <alignment wrapText="1"/>
    </xf>
    <xf numFmtId="0" fontId="20" fillId="4" borderId="82" xfId="0" applyFont="1" applyFill="1" applyBorder="1"/>
    <xf numFmtId="0" fontId="18" fillId="32" borderId="82" xfId="0" applyFont="1" applyFill="1" applyBorder="1" applyAlignment="1">
      <alignment wrapText="1"/>
    </xf>
    <xf numFmtId="0" fontId="18" fillId="4" borderId="83" xfId="0" applyFont="1" applyFill="1" applyBorder="1" applyAlignment="1">
      <alignment wrapText="1"/>
    </xf>
    <xf numFmtId="0" fontId="20" fillId="4" borderId="3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178" fontId="18" fillId="0" borderId="0" xfId="0" applyNumberFormat="1" applyFont="1"/>
    <xf numFmtId="0" fontId="47" fillId="27" borderId="1" xfId="0" applyFont="1" applyFill="1" applyBorder="1" applyAlignment="1">
      <alignment wrapText="1"/>
    </xf>
    <xf numFmtId="3" fontId="18" fillId="0" borderId="0" xfId="0" applyNumberFormat="1" applyFont="1"/>
    <xf numFmtId="0" fontId="48" fillId="4" borderId="1" xfId="0" applyFont="1" applyFill="1" applyBorder="1"/>
    <xf numFmtId="0" fontId="41" fillId="4" borderId="84" xfId="0" applyFont="1" applyFill="1" applyBorder="1"/>
    <xf numFmtId="0" fontId="47" fillId="0" borderId="85" xfId="0" applyFont="1" applyBorder="1"/>
    <xf numFmtId="0" fontId="18" fillId="0" borderId="85" xfId="0" applyFont="1" applyBorder="1"/>
    <xf numFmtId="3" fontId="18" fillId="0" borderId="85" xfId="0" applyNumberFormat="1" applyFont="1" applyBorder="1"/>
    <xf numFmtId="0" fontId="47" fillId="0" borderId="86" xfId="0" applyFont="1" applyBorder="1"/>
    <xf numFmtId="0" fontId="47" fillId="0" borderId="87" xfId="0" applyFont="1" applyBorder="1"/>
    <xf numFmtId="0" fontId="18" fillId="4" borderId="88" xfId="0" applyFont="1" applyFill="1" applyBorder="1"/>
    <xf numFmtId="9" fontId="20" fillId="5" borderId="1" xfId="0" applyNumberFormat="1" applyFont="1" applyFill="1" applyBorder="1"/>
    <xf numFmtId="0" fontId="20" fillId="5" borderId="88" xfId="0" applyFont="1" applyFill="1" applyBorder="1"/>
    <xf numFmtId="0" fontId="20" fillId="5" borderId="89" xfId="0" applyFont="1" applyFill="1" applyBorder="1"/>
    <xf numFmtId="9" fontId="47" fillId="0" borderId="0" xfId="0" applyNumberFormat="1" applyFont="1"/>
    <xf numFmtId="0" fontId="18" fillId="4" borderId="90" xfId="0" applyFont="1" applyFill="1" applyBorder="1"/>
    <xf numFmtId="0" fontId="47" fillId="0" borderId="91" xfId="0" applyFont="1" applyBorder="1"/>
    <xf numFmtId="0" fontId="18" fillId="0" borderId="91" xfId="0" applyFont="1" applyBorder="1"/>
    <xf numFmtId="3" fontId="47" fillId="0" borderId="78" xfId="0" applyNumberFormat="1" applyFont="1" applyBorder="1"/>
    <xf numFmtId="0" fontId="47" fillId="0" borderId="92" xfId="0" applyFont="1" applyBorder="1"/>
    <xf numFmtId="9" fontId="47" fillId="0" borderId="93" xfId="0" applyNumberFormat="1" applyFont="1" applyBorder="1"/>
    <xf numFmtId="0" fontId="47" fillId="0" borderId="93" xfId="0" applyFont="1" applyBorder="1"/>
    <xf numFmtId="0" fontId="18" fillId="4" borderId="84" xfId="0" applyFont="1" applyFill="1" applyBorder="1"/>
    <xf numFmtId="9" fontId="20" fillId="5" borderId="94" xfId="0" applyNumberFormat="1" applyFont="1" applyFill="1" applyBorder="1"/>
    <xf numFmtId="3" fontId="47" fillId="0" borderId="85" xfId="0" applyNumberFormat="1" applyFont="1" applyBorder="1"/>
    <xf numFmtId="9" fontId="20" fillId="5" borderId="84" xfId="0" applyNumberFormat="1" applyFont="1" applyFill="1" applyBorder="1"/>
    <xf numFmtId="9" fontId="20" fillId="5" borderId="95" xfId="0" applyNumberFormat="1" applyFont="1" applyFill="1" applyBorder="1"/>
    <xf numFmtId="9" fontId="47" fillId="0" borderId="85" xfId="0" applyNumberFormat="1" applyFont="1" applyBorder="1"/>
    <xf numFmtId="3" fontId="47" fillId="0" borderId="0" xfId="0" applyNumberFormat="1" applyFont="1"/>
    <xf numFmtId="0" fontId="18" fillId="0" borderId="92" xfId="0" applyFont="1" applyBorder="1"/>
    <xf numFmtId="0" fontId="18" fillId="0" borderId="93" xfId="0" applyFont="1" applyBorder="1"/>
    <xf numFmtId="9" fontId="20" fillId="5" borderId="88" xfId="0" applyNumberFormat="1" applyFont="1" applyFill="1" applyBorder="1"/>
    <xf numFmtId="9" fontId="20" fillId="5" borderId="89" xfId="0" applyNumberFormat="1" applyFont="1" applyFill="1" applyBorder="1"/>
    <xf numFmtId="9" fontId="47" fillId="0" borderId="64" xfId="0" applyNumberFormat="1" applyFont="1" applyBorder="1"/>
    <xf numFmtId="0" fontId="18" fillId="0" borderId="86" xfId="0" applyFont="1" applyBorder="1"/>
    <xf numFmtId="0" fontId="18" fillId="0" borderId="87" xfId="0" applyFont="1" applyBorder="1"/>
    <xf numFmtId="9" fontId="20" fillId="5" borderId="96" xfId="0" applyNumberFormat="1" applyFont="1" applyFill="1" applyBorder="1"/>
    <xf numFmtId="9" fontId="20" fillId="5" borderId="90" xfId="0" applyNumberFormat="1" applyFont="1" applyFill="1" applyBorder="1"/>
    <xf numFmtId="9" fontId="20" fillId="5" borderId="97" xfId="0" applyNumberFormat="1" applyFont="1" applyFill="1" applyBorder="1"/>
    <xf numFmtId="9" fontId="47" fillId="0" borderId="91" xfId="0" applyNumberFormat="1" applyFont="1" applyBorder="1"/>
    <xf numFmtId="0" fontId="18" fillId="4" borderId="3" xfId="0" applyFont="1" applyFill="1" applyBorder="1"/>
    <xf numFmtId="0" fontId="47" fillId="0" borderId="0" xfId="0" applyFont="1" applyAlignment="1">
      <alignment wrapText="1"/>
    </xf>
    <xf numFmtId="178" fontId="18" fillId="32" borderId="21" xfId="0" applyNumberFormat="1" applyFont="1" applyFill="1" applyBorder="1"/>
    <xf numFmtId="0" fontId="46" fillId="0" borderId="0" xfId="0" applyFont="1" applyAlignment="1">
      <alignment wrapText="1"/>
    </xf>
    <xf numFmtId="0" fontId="46" fillId="0" borderId="0" xfId="0" applyFont="1"/>
    <xf numFmtId="3" fontId="47" fillId="0" borderId="2" xfId="0" applyNumberFormat="1" applyFont="1" applyBorder="1"/>
    <xf numFmtId="0" fontId="47" fillId="0" borderId="2" xfId="0" applyFont="1" applyBorder="1" applyAlignment="1">
      <alignment wrapText="1"/>
    </xf>
    <xf numFmtId="1" fontId="47" fillId="0" borderId="2" xfId="0" applyNumberFormat="1" applyFont="1" applyBorder="1"/>
    <xf numFmtId="1" fontId="47" fillId="0" borderId="0" xfId="0" applyNumberFormat="1" applyFont="1"/>
    <xf numFmtId="180" fontId="20" fillId="32" borderId="2" xfId="0" applyNumberFormat="1" applyFont="1" applyFill="1" applyBorder="1"/>
    <xf numFmtId="0" fontId="47" fillId="11" borderId="1" xfId="0" applyFont="1" applyFill="1" applyBorder="1"/>
    <xf numFmtId="167" fontId="20" fillId="32" borderId="2" xfId="0" applyNumberFormat="1" applyFont="1" applyFill="1" applyBorder="1" applyAlignment="1">
      <alignment horizontal="right"/>
    </xf>
    <xf numFmtId="0" fontId="22" fillId="4" borderId="1" xfId="0" applyFont="1" applyFill="1" applyBorder="1"/>
    <xf numFmtId="14" fontId="41" fillId="0" borderId="0" xfId="0" applyNumberFormat="1" applyFont="1"/>
    <xf numFmtId="164" fontId="1" fillId="4" borderId="37" xfId="0" applyNumberFormat="1" applyFont="1" applyFill="1" applyBorder="1" applyAlignment="1">
      <alignment horizontal="left" wrapText="1"/>
    </xf>
    <xf numFmtId="0" fontId="27" fillId="0" borderId="38" xfId="0" applyFont="1" applyBorder="1"/>
    <xf numFmtId="164" fontId="1" fillId="4" borderId="39" xfId="0" applyNumberFormat="1" applyFont="1" applyFill="1" applyBorder="1" applyAlignment="1">
      <alignment horizontal="left" wrapText="1"/>
    </xf>
    <xf numFmtId="0" fontId="27" fillId="0" borderId="40" xfId="0" applyFont="1" applyBorder="1"/>
    <xf numFmtId="164" fontId="6" fillId="3" borderId="8" xfId="0" applyNumberFormat="1" applyFont="1" applyFill="1" applyBorder="1" applyAlignment="1">
      <alignment horizontal="center"/>
    </xf>
    <xf numFmtId="0" fontId="27" fillId="0" borderId="15" xfId="0" applyFont="1" applyBorder="1"/>
    <xf numFmtId="164" fontId="6" fillId="3" borderId="41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 wrapText="1"/>
    </xf>
    <xf numFmtId="0" fontId="27" fillId="0" borderId="26" xfId="0" applyFont="1" applyBorder="1"/>
    <xf numFmtId="0" fontId="5" fillId="2" borderId="27" xfId="0" applyFont="1" applyFill="1" applyBorder="1" applyAlignment="1">
      <alignment horizontal="center"/>
    </xf>
    <xf numFmtId="0" fontId="27" fillId="0" borderId="28" xfId="0" applyFont="1" applyBorder="1"/>
    <xf numFmtId="0" fontId="5" fillId="2" borderId="1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/>
    </xf>
    <xf numFmtId="0" fontId="27" fillId="0" borderId="20" xfId="0" applyFont="1" applyBorder="1"/>
    <xf numFmtId="164" fontId="1" fillId="4" borderId="18" xfId="0" applyNumberFormat="1" applyFont="1" applyFill="1" applyBorder="1" applyAlignment="1">
      <alignment horizontal="left" wrapText="1"/>
    </xf>
    <xf numFmtId="164" fontId="6" fillId="3" borderId="18" xfId="0" applyNumberFormat="1" applyFont="1" applyFill="1" applyBorder="1" applyAlignment="1">
      <alignment horizontal="center" wrapText="1"/>
    </xf>
    <xf numFmtId="164" fontId="5" fillId="2" borderId="53" xfId="0" applyNumberFormat="1" applyFont="1" applyFill="1" applyBorder="1" applyAlignment="1">
      <alignment horizontal="center" wrapText="1"/>
    </xf>
    <xf numFmtId="0" fontId="43" fillId="26" borderId="53" xfId="0" applyFont="1" applyFill="1" applyBorder="1" applyAlignment="1">
      <alignment horizontal="left" vertical="center"/>
    </xf>
    <xf numFmtId="0" fontId="39" fillId="29" borderId="27" xfId="0" applyFont="1" applyFill="1" applyBorder="1" applyAlignment="1">
      <alignment horizontal="center" vertical="center" wrapText="1"/>
    </xf>
    <xf numFmtId="0" fontId="39" fillId="29" borderId="18" xfId="0" applyFont="1" applyFill="1" applyBorder="1" applyAlignment="1">
      <alignment horizontal="center" vertical="center" wrapText="1"/>
    </xf>
    <xf numFmtId="165" fontId="33" fillId="2" borderId="18" xfId="0" applyNumberFormat="1" applyFont="1" applyFill="1" applyBorder="1" applyAlignment="1">
      <alignment horizontal="center" vertical="center" wrapText="1"/>
    </xf>
    <xf numFmtId="165" fontId="33" fillId="2" borderId="37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wrapText="1"/>
    </xf>
    <xf numFmtId="0" fontId="20" fillId="4" borderId="39" xfId="0" applyFont="1" applyFill="1" applyBorder="1" applyAlignment="1">
      <alignment horizontal="left"/>
    </xf>
  </cellXfs>
  <cellStyles count="1">
    <cellStyle name="Normal" xfId="0" builtinId="0"/>
  </cellStyles>
  <dxfs count="4">
    <dxf>
      <fill>
        <patternFill patternType="solid">
          <fgColor rgb="FFE5B8B7"/>
          <bgColor rgb="FFE5B8B7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B1018"/>
  <sheetViews>
    <sheetView tabSelected="1" workbookViewId="0">
      <selection activeCell="L21" sqref="L21"/>
    </sheetView>
  </sheetViews>
  <sheetFormatPr baseColWidth="10" defaultColWidth="14.3984375" defaultRowHeight="15" customHeight="1" outlineLevelCol="1" x14ac:dyDescent="0.3"/>
  <cols>
    <col min="1" max="1" width="6.296875" customWidth="1"/>
    <col min="2" max="2" width="38.8984375" customWidth="1"/>
    <col min="3" max="3" width="12.3984375" customWidth="1"/>
    <col min="4" max="4" width="9.296875" customWidth="1"/>
    <col min="5" max="5" width="11.3984375" hidden="1" customWidth="1" outlineLevel="1"/>
    <col min="6" max="6" width="11.8984375" hidden="1" customWidth="1" outlineLevel="1"/>
    <col min="7" max="7" width="9.296875" customWidth="1" collapsed="1"/>
    <col min="8" max="8" width="9.296875" customWidth="1"/>
    <col min="9" max="10" width="12" customWidth="1"/>
    <col min="11" max="19" width="12.59765625" customWidth="1"/>
    <col min="20" max="26" width="10" customWidth="1"/>
    <col min="27" max="28" width="17.296875" customWidth="1"/>
  </cols>
  <sheetData>
    <row r="1" spans="1:28" ht="39" x14ac:dyDescent="0.3">
      <c r="A1" s="1"/>
      <c r="B1" s="2" t="s">
        <v>0</v>
      </c>
      <c r="C1" s="3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7" t="s">
        <v>7</v>
      </c>
      <c r="J1" s="8" t="s">
        <v>8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  <c r="Z1" s="10"/>
      <c r="AA1" s="9"/>
      <c r="AB1" s="9"/>
    </row>
    <row r="2" spans="1:28" ht="12.75" customHeight="1" x14ac:dyDescent="0.3">
      <c r="A2" s="11"/>
      <c r="B2" s="12" t="s">
        <v>9</v>
      </c>
      <c r="C2" s="3"/>
      <c r="D2" s="13"/>
      <c r="E2" s="14"/>
      <c r="F2" s="11"/>
      <c r="G2" s="15"/>
      <c r="H2" s="15"/>
      <c r="I2" s="12"/>
      <c r="J2" s="1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9"/>
      <c r="AB2" s="9"/>
    </row>
    <row r="3" spans="1:28" ht="12.75" customHeight="1" x14ac:dyDescent="0.3">
      <c r="A3" s="9">
        <v>3050</v>
      </c>
      <c r="B3" s="9" t="s">
        <v>10</v>
      </c>
      <c r="C3" s="16">
        <f>Budsjett!$C4</f>
        <v>107750</v>
      </c>
      <c r="D3" s="17">
        <v>185250</v>
      </c>
      <c r="E3" s="18">
        <v>2000</v>
      </c>
      <c r="F3" s="19">
        <v>153120</v>
      </c>
      <c r="G3" s="20">
        <v>5702</v>
      </c>
      <c r="H3" s="20">
        <v>420</v>
      </c>
      <c r="I3" s="21">
        <v>309904</v>
      </c>
      <c r="J3" s="22">
        <v>334765</v>
      </c>
      <c r="K3" s="2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9"/>
      <c r="AB3" s="9"/>
    </row>
    <row r="4" spans="1:28" ht="12.75" customHeight="1" x14ac:dyDescent="0.3">
      <c r="A4" s="9">
        <v>3110</v>
      </c>
      <c r="B4" s="24" t="s">
        <v>11</v>
      </c>
      <c r="C4" s="25">
        <f>Budsjett!$C5</f>
        <v>30000</v>
      </c>
      <c r="D4" s="17">
        <v>30000</v>
      </c>
      <c r="E4" s="18">
        <v>81799.399999999994</v>
      </c>
      <c r="F4" s="26">
        <v>82513.313999999998</v>
      </c>
      <c r="G4" s="27">
        <v>27340</v>
      </c>
      <c r="H4" s="27">
        <v>25050</v>
      </c>
      <c r="I4" s="21"/>
      <c r="J4" s="22">
        <v>86008</v>
      </c>
      <c r="K4" s="2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9"/>
      <c r="AB4" s="9"/>
    </row>
    <row r="5" spans="1:28" ht="12.75" customHeight="1" x14ac:dyDescent="0.3">
      <c r="A5" s="9">
        <v>3115</v>
      </c>
      <c r="B5" s="9" t="s">
        <v>12</v>
      </c>
      <c r="C5" s="16">
        <f>Budsjett!$C6</f>
        <v>171000</v>
      </c>
      <c r="D5" s="17">
        <v>291000</v>
      </c>
      <c r="E5" s="18">
        <v>124440</v>
      </c>
      <c r="F5" s="19">
        <v>317697.114</v>
      </c>
      <c r="G5" s="27">
        <v>125172</v>
      </c>
      <c r="H5" s="27"/>
      <c r="I5" s="21">
        <v>305670</v>
      </c>
      <c r="J5" s="22">
        <v>291850</v>
      </c>
      <c r="K5" s="2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9"/>
      <c r="AB5" s="9"/>
    </row>
    <row r="6" spans="1:28" ht="12.75" customHeight="1" x14ac:dyDescent="0.3">
      <c r="A6" s="9"/>
      <c r="B6" s="28" t="s">
        <v>13</v>
      </c>
      <c r="C6" s="29">
        <f>SUM(C3:C5)</f>
        <v>308750</v>
      </c>
      <c r="D6" s="30">
        <f>SUM(D3:D5)</f>
        <v>506250</v>
      </c>
      <c r="E6" s="31">
        <f>SUM(E3:E5)</f>
        <v>208239.4</v>
      </c>
      <c r="F6" s="32">
        <v>553330.42800000007</v>
      </c>
      <c r="G6" s="33">
        <f t="shared" ref="G6:J6" si="0">SUM(G3:G5)</f>
        <v>158214</v>
      </c>
      <c r="H6" s="33">
        <f t="shared" si="0"/>
        <v>25470</v>
      </c>
      <c r="I6" s="34">
        <f t="shared" si="0"/>
        <v>615574</v>
      </c>
      <c r="J6" s="35">
        <f t="shared" si="0"/>
        <v>712623</v>
      </c>
      <c r="K6" s="2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9"/>
      <c r="AB6" s="9"/>
    </row>
    <row r="7" spans="1:28" ht="12.75" customHeight="1" x14ac:dyDescent="0.3">
      <c r="A7" s="28"/>
      <c r="B7" s="9"/>
      <c r="C7" s="25"/>
      <c r="D7" s="17"/>
      <c r="E7" s="18"/>
      <c r="F7" s="19"/>
      <c r="G7" s="27"/>
      <c r="H7" s="27"/>
      <c r="I7" s="36"/>
      <c r="J7" s="37"/>
      <c r="K7" s="2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9"/>
      <c r="AB7" s="9"/>
    </row>
    <row r="8" spans="1:28" ht="12.75" customHeight="1" x14ac:dyDescent="0.3">
      <c r="A8" s="9">
        <v>3900</v>
      </c>
      <c r="B8" s="9" t="s">
        <v>14</v>
      </c>
      <c r="C8" s="25">
        <f>Budsjett!$C9</f>
        <v>70000</v>
      </c>
      <c r="D8" s="17">
        <v>70000</v>
      </c>
      <c r="E8" s="18">
        <v>224546.4</v>
      </c>
      <c r="F8" s="19">
        <v>357242.29686242959</v>
      </c>
      <c r="G8" s="27">
        <v>6250</v>
      </c>
      <c r="H8" s="27">
        <v>24827</v>
      </c>
      <c r="I8" s="21">
        <v>483813</v>
      </c>
      <c r="J8" s="22">
        <v>780480</v>
      </c>
      <c r="K8" s="2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  <c r="Z8" s="10"/>
      <c r="AA8" s="9"/>
      <c r="AB8" s="9"/>
    </row>
    <row r="9" spans="1:28" ht="12.75" customHeight="1" x14ac:dyDescent="0.3">
      <c r="A9" s="9">
        <v>3901</v>
      </c>
      <c r="B9" s="9" t="s">
        <v>15</v>
      </c>
      <c r="C9" s="25">
        <f>Budsjett!$C10</f>
        <v>810000</v>
      </c>
      <c r="D9" s="17">
        <v>810000</v>
      </c>
      <c r="E9" s="18">
        <v>1522552</v>
      </c>
      <c r="F9" s="19">
        <v>680000</v>
      </c>
      <c r="G9" s="27">
        <v>383401</v>
      </c>
      <c r="H9" s="27">
        <v>682329</v>
      </c>
      <c r="I9" s="21">
        <v>713009</v>
      </c>
      <c r="J9" s="22">
        <v>516206</v>
      </c>
      <c r="K9" s="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Z9" s="10"/>
      <c r="AA9" s="9"/>
      <c r="AB9" s="9"/>
    </row>
    <row r="10" spans="1:28" ht="12.75" customHeight="1" x14ac:dyDescent="0.3">
      <c r="A10" s="24">
        <v>3902</v>
      </c>
      <c r="B10" s="24" t="s">
        <v>16</v>
      </c>
      <c r="C10" s="16">
        <f>Budsjett!$C11</f>
        <v>198218.81720430107</v>
      </c>
      <c r="D10" s="17">
        <v>471371.59090909088</v>
      </c>
      <c r="E10" s="18">
        <v>211933</v>
      </c>
      <c r="F10" s="26">
        <v>353725</v>
      </c>
      <c r="G10" s="27">
        <v>252061</v>
      </c>
      <c r="H10" s="27"/>
      <c r="I10" s="21">
        <v>1891329</v>
      </c>
      <c r="J10" s="22">
        <v>475808</v>
      </c>
      <c r="K10" s="2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10"/>
      <c r="AA10" s="9"/>
      <c r="AB10" s="9"/>
    </row>
    <row r="11" spans="1:28" ht="12.75" customHeight="1" x14ac:dyDescent="0.3">
      <c r="A11" s="24">
        <v>3903</v>
      </c>
      <c r="B11" s="24" t="s">
        <v>17</v>
      </c>
      <c r="C11" s="16">
        <f>Budsjett!$C12</f>
        <v>24806.02</v>
      </c>
      <c r="D11" s="17">
        <v>53144.226079999993</v>
      </c>
      <c r="E11" s="18"/>
      <c r="F11" s="26"/>
      <c r="G11" s="27">
        <v>26312</v>
      </c>
      <c r="H11" s="27"/>
      <c r="I11" s="21">
        <v>61978</v>
      </c>
      <c r="J11" s="22">
        <v>8269</v>
      </c>
      <c r="K11" s="2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9"/>
      <c r="AB11" s="9"/>
    </row>
    <row r="12" spans="1:28" ht="12.75" customHeight="1" x14ac:dyDescent="0.3">
      <c r="A12" s="24">
        <v>3904</v>
      </c>
      <c r="B12" s="24" t="s">
        <v>18</v>
      </c>
      <c r="C12" s="16">
        <f>Budsjett!$C13</f>
        <v>201065.77934086259</v>
      </c>
      <c r="D12" s="17">
        <v>242752</v>
      </c>
      <c r="E12" s="18"/>
      <c r="F12" s="26"/>
      <c r="G12" s="27">
        <v>112950</v>
      </c>
      <c r="H12" s="27"/>
      <c r="I12" s="21"/>
      <c r="J12" s="22"/>
      <c r="K12" s="2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  <c r="Z12" s="10"/>
      <c r="AA12" s="9"/>
      <c r="AB12" s="9"/>
    </row>
    <row r="13" spans="1:28" ht="12.75" customHeight="1" x14ac:dyDescent="0.3">
      <c r="A13" s="38">
        <v>3910</v>
      </c>
      <c r="B13" s="39" t="s">
        <v>19</v>
      </c>
      <c r="C13" s="40">
        <f>Budsjett!$C14</f>
        <v>1579261</v>
      </c>
      <c r="D13" s="17">
        <v>1500000</v>
      </c>
      <c r="E13" s="18">
        <v>1541967</v>
      </c>
      <c r="F13" s="19">
        <v>1300000</v>
      </c>
      <c r="G13" s="27">
        <v>1609774</v>
      </c>
      <c r="H13" s="27">
        <v>1509013</v>
      </c>
      <c r="I13" s="21">
        <v>1360304</v>
      </c>
      <c r="J13" s="22">
        <v>1258399</v>
      </c>
      <c r="K13" s="2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10"/>
      <c r="AA13" s="9"/>
      <c r="AB13" s="9"/>
    </row>
    <row r="14" spans="1:28" ht="12.75" customHeight="1" x14ac:dyDescent="0.3">
      <c r="A14" s="38">
        <v>3915</v>
      </c>
      <c r="B14" s="41" t="s">
        <v>20</v>
      </c>
      <c r="C14" s="25">
        <f>Budsjett!$C15</f>
        <v>873000</v>
      </c>
      <c r="D14" s="42">
        <v>567000</v>
      </c>
      <c r="E14" s="18">
        <v>588723</v>
      </c>
      <c r="F14" s="43">
        <v>850000</v>
      </c>
      <c r="G14" s="44">
        <v>625180</v>
      </c>
      <c r="H14" s="44">
        <v>874000</v>
      </c>
      <c r="I14" s="21">
        <v>850000</v>
      </c>
      <c r="J14" s="22">
        <v>746796</v>
      </c>
      <c r="K14" s="23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  <c r="Z14" s="10"/>
      <c r="AA14" s="9"/>
      <c r="AB14" s="9"/>
    </row>
    <row r="15" spans="1:28" ht="12.75" customHeight="1" x14ac:dyDescent="0.3">
      <c r="A15" s="9">
        <v>3922</v>
      </c>
      <c r="B15" s="9" t="s">
        <v>21</v>
      </c>
      <c r="C15" s="16">
        <f>Budsjett!$C16</f>
        <v>1092015.5618285714</v>
      </c>
      <c r="D15" s="45">
        <v>1897994.4459428571</v>
      </c>
      <c r="E15" s="46">
        <v>0</v>
      </c>
      <c r="F15" s="19">
        <v>1659433.5934000001</v>
      </c>
      <c r="G15" s="37">
        <v>0</v>
      </c>
      <c r="H15" s="37"/>
      <c r="I15" s="21">
        <v>754291</v>
      </c>
      <c r="J15" s="22">
        <v>1560942</v>
      </c>
      <c r="K15" s="2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10"/>
      <c r="AA15" s="9"/>
      <c r="AB15" s="9"/>
    </row>
    <row r="16" spans="1:28" ht="12.75" customHeight="1" x14ac:dyDescent="0.3">
      <c r="A16" s="9">
        <v>3927</v>
      </c>
      <c r="B16" s="9" t="s">
        <v>22</v>
      </c>
      <c r="C16" s="25">
        <f>Budsjett!$C17</f>
        <v>510000</v>
      </c>
      <c r="D16" s="45">
        <v>510000</v>
      </c>
      <c r="E16" s="46">
        <v>475000</v>
      </c>
      <c r="F16" s="19">
        <v>475000</v>
      </c>
      <c r="G16" s="37">
        <v>524657</v>
      </c>
      <c r="H16" s="37">
        <v>506413</v>
      </c>
      <c r="I16" s="21">
        <v>524259</v>
      </c>
      <c r="J16" s="22">
        <v>461175</v>
      </c>
      <c r="K16" s="23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10"/>
      <c r="AA16" s="9"/>
      <c r="AB16" s="9"/>
    </row>
    <row r="17" spans="1:28" ht="12.75" customHeight="1" x14ac:dyDescent="0.3">
      <c r="A17" s="9">
        <v>3930</v>
      </c>
      <c r="B17" s="9" t="s">
        <v>23</v>
      </c>
      <c r="C17" s="25">
        <f>Budsjett!$C18</f>
        <v>0</v>
      </c>
      <c r="D17" s="45">
        <v>0</v>
      </c>
      <c r="E17" s="46"/>
      <c r="F17" s="19">
        <v>0</v>
      </c>
      <c r="G17" s="37">
        <v>0</v>
      </c>
      <c r="H17" s="37"/>
      <c r="I17" s="21">
        <v>37879</v>
      </c>
      <c r="J17" s="22">
        <v>120000</v>
      </c>
      <c r="K17" s="2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10"/>
      <c r="AA17" s="9"/>
      <c r="AB17" s="9"/>
    </row>
    <row r="18" spans="1:28" ht="12.75" customHeight="1" x14ac:dyDescent="0.3">
      <c r="A18" s="9">
        <v>3931</v>
      </c>
      <c r="B18" s="9" t="s">
        <v>24</v>
      </c>
      <c r="C18" s="25"/>
      <c r="D18" s="45"/>
      <c r="E18" s="46"/>
      <c r="F18" s="19"/>
      <c r="G18" s="37">
        <v>113274</v>
      </c>
      <c r="H18" s="37"/>
      <c r="I18" s="21"/>
      <c r="J18" s="22"/>
      <c r="K18" s="2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  <c r="Z18" s="10"/>
      <c r="AA18" s="9"/>
      <c r="AB18" s="9"/>
    </row>
    <row r="19" spans="1:28" ht="12.75" customHeight="1" x14ac:dyDescent="0.3">
      <c r="A19" s="9">
        <v>3950</v>
      </c>
      <c r="B19" s="9" t="s">
        <v>25</v>
      </c>
      <c r="C19" s="25">
        <f>Budsjett!$C19</f>
        <v>140000</v>
      </c>
      <c r="D19" s="45">
        <v>140000</v>
      </c>
      <c r="E19" s="46">
        <v>135000</v>
      </c>
      <c r="F19" s="19">
        <v>135000</v>
      </c>
      <c r="G19" s="37">
        <v>143697</v>
      </c>
      <c r="H19" s="37">
        <v>134037</v>
      </c>
      <c r="I19" s="21">
        <v>144350</v>
      </c>
      <c r="J19" s="22">
        <v>140350</v>
      </c>
      <c r="K19" s="2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  <c r="Z19" s="10"/>
      <c r="AA19" s="9"/>
      <c r="AB19" s="9"/>
    </row>
    <row r="20" spans="1:28" ht="12.75" customHeight="1" x14ac:dyDescent="0.3">
      <c r="A20" s="38">
        <v>3960</v>
      </c>
      <c r="B20" s="39" t="s">
        <v>26</v>
      </c>
      <c r="C20" s="25"/>
      <c r="D20" s="47"/>
      <c r="E20" s="46"/>
      <c r="F20" s="19"/>
      <c r="G20" s="48">
        <v>266</v>
      </c>
      <c r="H20" s="48"/>
      <c r="I20" s="21"/>
      <c r="J20" s="22"/>
      <c r="K20" s="2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  <c r="Z20" s="10"/>
      <c r="AA20" s="9"/>
      <c r="AB20" s="9"/>
    </row>
    <row r="21" spans="1:28" ht="12.75" customHeight="1" x14ac:dyDescent="0.3">
      <c r="A21" s="38">
        <v>3970</v>
      </c>
      <c r="B21" s="39" t="s">
        <v>27</v>
      </c>
      <c r="C21" s="25">
        <f>Budsjett!$C20</f>
        <v>2000</v>
      </c>
      <c r="D21" s="47">
        <v>2000</v>
      </c>
      <c r="E21" s="46">
        <v>2000</v>
      </c>
      <c r="F21" s="19">
        <v>2000</v>
      </c>
      <c r="G21" s="48">
        <v>500</v>
      </c>
      <c r="H21" s="48"/>
      <c r="I21" s="21">
        <v>500</v>
      </c>
      <c r="J21" s="22">
        <v>1500</v>
      </c>
      <c r="K21" s="2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  <c r="Z21" s="10"/>
      <c r="AA21" s="9"/>
      <c r="AB21" s="9"/>
    </row>
    <row r="22" spans="1:28" ht="12.75" customHeight="1" x14ac:dyDescent="0.3">
      <c r="A22" s="38">
        <v>3975</v>
      </c>
      <c r="B22" s="39" t="s">
        <v>28</v>
      </c>
      <c r="C22" s="25"/>
      <c r="D22" s="47"/>
      <c r="E22" s="46"/>
      <c r="F22" s="19"/>
      <c r="G22" s="48"/>
      <c r="H22" s="48"/>
      <c r="I22" s="36">
        <v>1000050</v>
      </c>
      <c r="J22" s="37">
        <v>98</v>
      </c>
      <c r="K22" s="23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  <c r="Z22" s="10"/>
      <c r="AA22" s="9"/>
      <c r="AB22" s="9"/>
    </row>
    <row r="23" spans="1:28" ht="12.75" customHeight="1" x14ac:dyDescent="0.3">
      <c r="A23" s="9"/>
      <c r="B23" s="28" t="s">
        <v>29</v>
      </c>
      <c r="C23" s="49">
        <f>SUM(C8:C22)</f>
        <v>5500367.1783737354</v>
      </c>
      <c r="D23" s="50">
        <f>SUM(D8:D22)</f>
        <v>6264262.2629319476</v>
      </c>
      <c r="E23" s="51">
        <f>SUM(E8:E22)</f>
        <v>4701721.4000000004</v>
      </c>
      <c r="F23" s="52">
        <v>5812400.8902624296</v>
      </c>
      <c r="G23" s="53">
        <f t="shared" ref="G23:J23" si="1">SUM(G8:G22)</f>
        <v>3798322</v>
      </c>
      <c r="H23" s="53">
        <f t="shared" si="1"/>
        <v>3730619</v>
      </c>
      <c r="I23" s="54">
        <f t="shared" si="1"/>
        <v>7821762</v>
      </c>
      <c r="J23" s="55">
        <f t="shared" si="1"/>
        <v>6070023</v>
      </c>
      <c r="K23" s="23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  <c r="Z23" s="10"/>
      <c r="AA23" s="9"/>
      <c r="AB23" s="9"/>
    </row>
    <row r="24" spans="1:28" ht="12.75" customHeight="1" x14ac:dyDescent="0.3">
      <c r="A24" s="11"/>
      <c r="B24" s="12" t="s">
        <v>30</v>
      </c>
      <c r="C24" s="56">
        <f>C23+C6</f>
        <v>5809117.1783737354</v>
      </c>
      <c r="D24" s="57">
        <f>D6+D23</f>
        <v>6770512.2629319476</v>
      </c>
      <c r="E24" s="58">
        <f>E23+E6</f>
        <v>4909960.8000000007</v>
      </c>
      <c r="F24" s="59">
        <v>6365731.3182624299</v>
      </c>
      <c r="G24" s="58">
        <f t="shared" ref="G24:I24" si="2">G23+G6</f>
        <v>3956536</v>
      </c>
      <c r="H24" s="58">
        <f t="shared" si="2"/>
        <v>3756089</v>
      </c>
      <c r="I24" s="60">
        <f t="shared" si="2"/>
        <v>8437336</v>
      </c>
      <c r="J24" s="61">
        <f>J6+J23</f>
        <v>6782646</v>
      </c>
      <c r="K24" s="9"/>
      <c r="L24" s="9"/>
      <c r="M24" s="9"/>
      <c r="N24" s="62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  <c r="Z24" s="10"/>
      <c r="AA24" s="9"/>
      <c r="AB24" s="9"/>
    </row>
    <row r="25" spans="1:28" ht="12.75" customHeight="1" x14ac:dyDescent="0.3">
      <c r="A25" s="9"/>
      <c r="B25" s="9"/>
      <c r="C25" s="63"/>
      <c r="D25" s="64"/>
      <c r="E25" s="65"/>
      <c r="F25" s="19"/>
      <c r="G25" s="66"/>
      <c r="H25" s="66"/>
      <c r="I25" s="23"/>
      <c r="J25" s="23"/>
      <c r="K25" s="9"/>
      <c r="L25" s="9"/>
      <c r="M25" s="9"/>
      <c r="N25" s="62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Z25" s="10"/>
      <c r="AA25" s="9"/>
      <c r="AB25" s="9"/>
    </row>
    <row r="26" spans="1:28" ht="12.75" customHeight="1" x14ac:dyDescent="0.3">
      <c r="A26" s="11"/>
      <c r="B26" s="12" t="s">
        <v>31</v>
      </c>
      <c r="C26" s="3"/>
      <c r="D26" s="67"/>
      <c r="E26" s="68"/>
      <c r="F26" s="69"/>
      <c r="G26" s="61"/>
      <c r="H26" s="61"/>
      <c r="I26" s="12"/>
      <c r="J26" s="15"/>
      <c r="K26" s="9"/>
      <c r="L26" s="9"/>
      <c r="M26" s="9"/>
      <c r="N26" s="70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  <c r="Z26" s="10"/>
      <c r="AA26" s="9"/>
      <c r="AB26" s="9"/>
    </row>
    <row r="27" spans="1:28" ht="12.75" customHeight="1" x14ac:dyDescent="0.3">
      <c r="A27" s="9">
        <v>4010</v>
      </c>
      <c r="B27" s="9" t="s">
        <v>32</v>
      </c>
      <c r="C27" s="16">
        <f>Budsjett!$C26</f>
        <v>192500</v>
      </c>
      <c r="D27" s="45">
        <v>184750</v>
      </c>
      <c r="E27" s="65">
        <v>134650</v>
      </c>
      <c r="F27" s="19">
        <v>0</v>
      </c>
      <c r="G27" s="37">
        <v>190425.99</v>
      </c>
      <c r="H27" s="37">
        <v>137</v>
      </c>
      <c r="I27" s="21">
        <v>324128</v>
      </c>
      <c r="J27" s="22">
        <v>375104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  <c r="Z27" s="10"/>
      <c r="AA27" s="9"/>
      <c r="AB27" s="9"/>
    </row>
    <row r="28" spans="1:28" ht="12.75" customHeight="1" x14ac:dyDescent="0.3">
      <c r="A28" s="9">
        <v>4610</v>
      </c>
      <c r="B28" s="9" t="s">
        <v>33</v>
      </c>
      <c r="C28" s="40">
        <f>Budsjett!$C27</f>
        <v>523000</v>
      </c>
      <c r="D28" s="45">
        <v>1096000</v>
      </c>
      <c r="E28" s="65">
        <v>221800</v>
      </c>
      <c r="F28" s="19">
        <v>920000</v>
      </c>
      <c r="G28" s="37">
        <v>229650</v>
      </c>
      <c r="H28" s="37"/>
      <c r="I28" s="21">
        <v>747500</v>
      </c>
      <c r="J28" s="22">
        <v>1020000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  <c r="Z28" s="10"/>
      <c r="AA28" s="9"/>
      <c r="AB28" s="9"/>
    </row>
    <row r="29" spans="1:28" ht="12.75" customHeight="1" x14ac:dyDescent="0.3">
      <c r="A29" s="9">
        <v>4922</v>
      </c>
      <c r="B29" s="9" t="s">
        <v>34</v>
      </c>
      <c r="C29" s="40">
        <f>Budsjett!$C28</f>
        <v>633044.43442857114</v>
      </c>
      <c r="D29" s="45">
        <v>882309.06242857093</v>
      </c>
      <c r="E29" s="65">
        <v>53599</v>
      </c>
      <c r="F29" s="19">
        <v>857758.07580000011</v>
      </c>
      <c r="G29" s="37">
        <v>186039.96</v>
      </c>
      <c r="H29" s="37">
        <v>237295</v>
      </c>
      <c r="I29" s="21">
        <v>1535305</v>
      </c>
      <c r="J29" s="22">
        <v>600323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  <c r="Z29" s="10"/>
      <c r="AA29" s="9"/>
      <c r="AB29" s="9"/>
    </row>
    <row r="30" spans="1:28" ht="12.75" customHeight="1" x14ac:dyDescent="0.3">
      <c r="A30" s="9">
        <v>4927</v>
      </c>
      <c r="B30" s="9" t="s">
        <v>35</v>
      </c>
      <c r="C30" s="25">
        <f>Budsjett!$C29</f>
        <v>484500</v>
      </c>
      <c r="D30" s="45">
        <v>484500</v>
      </c>
      <c r="E30" s="65">
        <v>451250</v>
      </c>
      <c r="F30" s="19">
        <v>451250</v>
      </c>
      <c r="G30" s="37">
        <v>498424.15</v>
      </c>
      <c r="H30" s="37">
        <v>481250</v>
      </c>
      <c r="I30" s="21">
        <v>483012</v>
      </c>
      <c r="J30" s="22">
        <v>438551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Z30" s="10"/>
      <c r="AA30" s="9"/>
      <c r="AB30" s="9"/>
    </row>
    <row r="31" spans="1:28" ht="12.75" customHeight="1" x14ac:dyDescent="0.3">
      <c r="A31" s="9">
        <v>4928</v>
      </c>
      <c r="B31" s="9" t="s">
        <v>36</v>
      </c>
      <c r="C31" s="25">
        <f>Budsjett!$C30</f>
        <v>526500</v>
      </c>
      <c r="D31" s="45">
        <v>526500</v>
      </c>
      <c r="E31" s="65">
        <v>999044</v>
      </c>
      <c r="F31" s="19">
        <v>442000</v>
      </c>
      <c r="G31" s="37">
        <v>136706</v>
      </c>
      <c r="H31" s="37">
        <v>446603</v>
      </c>
      <c r="I31" s="21">
        <v>508686</v>
      </c>
      <c r="J31" s="22">
        <v>322417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Z31" s="10"/>
      <c r="AA31" s="9"/>
      <c r="AB31" s="9"/>
    </row>
    <row r="32" spans="1:28" ht="12.75" customHeight="1" x14ac:dyDescent="0.3">
      <c r="A32" s="9">
        <v>4929</v>
      </c>
      <c r="B32" s="9" t="s">
        <v>37</v>
      </c>
      <c r="C32" s="25">
        <f>Budsjett!$C31</f>
        <v>140000</v>
      </c>
      <c r="D32" s="45">
        <v>140000</v>
      </c>
      <c r="E32" s="65">
        <v>135000</v>
      </c>
      <c r="F32" s="19">
        <v>135000</v>
      </c>
      <c r="G32" s="37">
        <v>135740.70000000001</v>
      </c>
      <c r="H32" s="37">
        <v>125250</v>
      </c>
      <c r="I32" s="21">
        <v>160386</v>
      </c>
      <c r="J32" s="22">
        <v>140350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Z32" s="10"/>
      <c r="AA32" s="9"/>
      <c r="AB32" s="9"/>
    </row>
    <row r="33" spans="1:28" ht="12.75" customHeight="1" x14ac:dyDescent="0.3">
      <c r="A33" s="9">
        <v>4930</v>
      </c>
      <c r="B33" s="9" t="s">
        <v>38</v>
      </c>
      <c r="C33" s="25">
        <f>Budsjett!$C32</f>
        <v>0</v>
      </c>
      <c r="D33" s="45">
        <v>0</v>
      </c>
      <c r="E33" s="65">
        <v>0</v>
      </c>
      <c r="F33" s="19">
        <v>0</v>
      </c>
      <c r="G33" s="37">
        <v>0</v>
      </c>
      <c r="H33" s="37">
        <v>0</v>
      </c>
      <c r="I33" s="21">
        <v>91287</v>
      </c>
      <c r="J33" s="22">
        <v>91341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0"/>
      <c r="Z33" s="10"/>
      <c r="AA33" s="9"/>
      <c r="AB33" s="9"/>
    </row>
    <row r="34" spans="1:28" ht="12.75" customHeight="1" x14ac:dyDescent="0.3">
      <c r="A34" s="9">
        <v>4931</v>
      </c>
      <c r="B34" s="9" t="s">
        <v>39</v>
      </c>
      <c r="C34" s="29"/>
      <c r="D34" s="30"/>
      <c r="E34" s="71"/>
      <c r="F34" s="32"/>
      <c r="G34" s="33">
        <v>74602.710000000006</v>
      </c>
      <c r="H34" s="33"/>
      <c r="I34" s="54"/>
      <c r="J34" s="5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0"/>
      <c r="Z34" s="10"/>
      <c r="AA34" s="9"/>
      <c r="AB34" s="9"/>
    </row>
    <row r="35" spans="1:28" ht="12.75" customHeight="1" x14ac:dyDescent="0.3">
      <c r="A35" s="9"/>
      <c r="B35" s="28" t="s">
        <v>40</v>
      </c>
      <c r="C35" s="29">
        <f>SUM(C27:C33)</f>
        <v>2499544.4344285713</v>
      </c>
      <c r="D35" s="30">
        <f>SUM(D27:D34)</f>
        <v>3314059.0624285708</v>
      </c>
      <c r="E35" s="71">
        <f>SUM(E27:E33)</f>
        <v>1995343</v>
      </c>
      <c r="F35" s="32">
        <v>2806008.0758000002</v>
      </c>
      <c r="G35" s="33">
        <f>SUM(G27:G34)</f>
        <v>1451589.51</v>
      </c>
      <c r="H35" s="33">
        <f t="shared" ref="H35:J35" si="3">SUM(H27:H33)</f>
        <v>1290535</v>
      </c>
      <c r="I35" s="54">
        <f t="shared" si="3"/>
        <v>3850304</v>
      </c>
      <c r="J35" s="55">
        <f t="shared" si="3"/>
        <v>2988086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  <c r="Z35" s="10"/>
      <c r="AA35" s="9"/>
      <c r="AB35" s="9"/>
    </row>
    <row r="36" spans="1:28" ht="12.75" customHeight="1" x14ac:dyDescent="0.3">
      <c r="A36" s="28"/>
      <c r="B36" s="9"/>
      <c r="C36" s="25"/>
      <c r="D36" s="45"/>
      <c r="E36" s="65"/>
      <c r="F36" s="19"/>
      <c r="G36" s="37"/>
      <c r="H36" s="37"/>
      <c r="I36" s="36"/>
      <c r="J36" s="3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  <c r="Z36" s="10"/>
      <c r="AA36" s="9"/>
      <c r="AB36" s="9"/>
    </row>
    <row r="37" spans="1:28" ht="12.75" customHeight="1" x14ac:dyDescent="0.3">
      <c r="A37" s="9">
        <v>5000</v>
      </c>
      <c r="B37" s="9" t="s">
        <v>41</v>
      </c>
      <c r="C37" s="40">
        <f>Budsjett!$C35</f>
        <v>815629.5</v>
      </c>
      <c r="D37" s="45">
        <v>877200</v>
      </c>
      <c r="E37" s="65"/>
      <c r="F37" s="19">
        <v>883200</v>
      </c>
      <c r="G37" s="37">
        <v>820292.73</v>
      </c>
      <c r="H37" s="37">
        <v>822137</v>
      </c>
      <c r="I37" s="21">
        <v>553814</v>
      </c>
      <c r="J37" s="22">
        <v>438401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  <c r="Z37" s="10"/>
      <c r="AA37" s="9"/>
      <c r="AB37" s="9"/>
    </row>
    <row r="38" spans="1:28" ht="12.75" customHeight="1" x14ac:dyDescent="0.3">
      <c r="A38" s="9">
        <v>5020</v>
      </c>
      <c r="B38" s="9" t="s">
        <v>42</v>
      </c>
      <c r="C38" s="40">
        <f>Budsjett!$C36</f>
        <v>97875.54</v>
      </c>
      <c r="D38" s="45">
        <v>105264</v>
      </c>
      <c r="E38" s="65"/>
      <c r="F38" s="19">
        <v>105984</v>
      </c>
      <c r="G38" s="37">
        <v>98435.13</v>
      </c>
      <c r="H38" s="37">
        <v>98656</v>
      </c>
      <c r="I38" s="21">
        <v>66458</v>
      </c>
      <c r="J38" s="22">
        <v>52608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  <c r="Z38" s="10"/>
      <c r="AA38" s="9"/>
      <c r="AB38" s="9"/>
    </row>
    <row r="39" spans="1:28" ht="12.75" customHeight="1" x14ac:dyDescent="0.3">
      <c r="A39" s="9">
        <v>5400</v>
      </c>
      <c r="B39" s="9" t="s">
        <v>43</v>
      </c>
      <c r="C39" s="40">
        <f>Budsjett!$C37</f>
        <v>120753.94747499998</v>
      </c>
      <c r="D39" s="45">
        <v>123685.19999999998</v>
      </c>
      <c r="E39" s="65"/>
      <c r="F39" s="19">
        <v>130757.75999999998</v>
      </c>
      <c r="G39" s="37">
        <v>122765.97</v>
      </c>
      <c r="H39" s="37">
        <v>114532</v>
      </c>
      <c r="I39" s="21">
        <v>81686</v>
      </c>
      <c r="J39" s="22">
        <v>69576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9"/>
      <c r="AB39" s="9"/>
    </row>
    <row r="40" spans="1:28" ht="12.75" customHeight="1" x14ac:dyDescent="0.3">
      <c r="A40" s="9">
        <v>5411</v>
      </c>
      <c r="B40" s="72" t="s">
        <v>44</v>
      </c>
      <c r="C40" s="40">
        <f>Budsjett!$C38</f>
        <v>13800.451139999997</v>
      </c>
      <c r="D40" s="45">
        <v>14842.223999999998</v>
      </c>
      <c r="E40" s="65"/>
      <c r="F40" s="19">
        <v>14943.743999999999</v>
      </c>
      <c r="G40" s="37">
        <v>13879.35</v>
      </c>
      <c r="H40" s="37">
        <v>13911</v>
      </c>
      <c r="I40" s="21">
        <v>9371</v>
      </c>
      <c r="J40" s="22">
        <v>7418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0"/>
      <c r="Z40" s="10"/>
      <c r="AA40" s="9"/>
      <c r="AB40" s="9"/>
    </row>
    <row r="41" spans="1:28" ht="12.75" customHeight="1" x14ac:dyDescent="0.3">
      <c r="A41" s="9">
        <v>5420</v>
      </c>
      <c r="B41" s="9" t="s">
        <v>45</v>
      </c>
      <c r="C41" s="40">
        <f>Budsjett!$C39</f>
        <v>40781.475000000006</v>
      </c>
      <c r="D41" s="45">
        <v>43860</v>
      </c>
      <c r="E41" s="65"/>
      <c r="F41" s="19">
        <v>44160</v>
      </c>
      <c r="G41" s="37">
        <v>50387.94</v>
      </c>
      <c r="H41" s="37">
        <v>34099</v>
      </c>
      <c r="I41" s="21">
        <v>25523</v>
      </c>
      <c r="J41" s="22">
        <v>23362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0"/>
      <c r="Z41" s="10"/>
      <c r="AA41" s="9"/>
      <c r="AB41" s="9"/>
    </row>
    <row r="42" spans="1:28" ht="12.75" customHeight="1" x14ac:dyDescent="0.3">
      <c r="A42" s="9">
        <v>5800</v>
      </c>
      <c r="B42" s="9" t="s">
        <v>46</v>
      </c>
      <c r="C42" s="25"/>
      <c r="D42" s="45"/>
      <c r="E42" s="65"/>
      <c r="F42" s="19"/>
      <c r="G42" s="37"/>
      <c r="H42" s="37"/>
      <c r="I42" s="36"/>
      <c r="J42" s="37">
        <v>-1679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10"/>
      <c r="AA42" s="9"/>
      <c r="AB42" s="9"/>
    </row>
    <row r="43" spans="1:28" ht="12.75" customHeight="1" x14ac:dyDescent="0.3">
      <c r="A43" s="9">
        <v>5820</v>
      </c>
      <c r="B43" s="9" t="s">
        <v>47</v>
      </c>
      <c r="C43" s="25"/>
      <c r="D43" s="45"/>
      <c r="E43" s="65"/>
      <c r="F43" s="19"/>
      <c r="G43" s="37"/>
      <c r="H43" s="37"/>
      <c r="I43" s="36"/>
      <c r="J43" s="37">
        <v>-237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"/>
      <c r="Z43" s="10"/>
      <c r="AA43" s="9"/>
      <c r="AB43" s="9"/>
    </row>
    <row r="44" spans="1:28" ht="12.75" customHeight="1" x14ac:dyDescent="0.3">
      <c r="A44" s="9">
        <v>5930</v>
      </c>
      <c r="B44" s="9" t="s">
        <v>48</v>
      </c>
      <c r="C44" s="25"/>
      <c r="D44" s="45"/>
      <c r="E44" s="65"/>
      <c r="F44" s="19"/>
      <c r="G44" s="37"/>
      <c r="H44" s="37"/>
      <c r="I44" s="36"/>
      <c r="J44" s="37">
        <v>10018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  <c r="Z44" s="10"/>
      <c r="AA44" s="9"/>
      <c r="AB44" s="9"/>
    </row>
    <row r="45" spans="1:28" ht="12.75" customHeight="1" x14ac:dyDescent="0.3">
      <c r="A45" s="9">
        <v>5920</v>
      </c>
      <c r="B45" s="9" t="s">
        <v>49</v>
      </c>
      <c r="C45" s="25">
        <f>Budsjett!$C40</f>
        <v>3000</v>
      </c>
      <c r="D45" s="45">
        <v>3000</v>
      </c>
      <c r="E45" s="65"/>
      <c r="F45" s="19">
        <v>3000</v>
      </c>
      <c r="G45" s="37">
        <v>4021</v>
      </c>
      <c r="H45" s="37">
        <v>2806</v>
      </c>
      <c r="I45" s="21"/>
      <c r="J45" s="22">
        <v>1735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0"/>
      <c r="Z45" s="10"/>
      <c r="AA45" s="9"/>
      <c r="AB45" s="9"/>
    </row>
    <row r="46" spans="1:28" ht="12.75" customHeight="1" x14ac:dyDescent="0.3">
      <c r="A46" s="28"/>
      <c r="B46" s="28" t="s">
        <v>50</v>
      </c>
      <c r="C46" s="29">
        <f>SUM(C37:C45)</f>
        <v>1091840.913615</v>
      </c>
      <c r="D46" s="30">
        <f>SUM(D37:D45)</f>
        <v>1167851.4239999999</v>
      </c>
      <c r="E46" s="73">
        <v>1128035</v>
      </c>
      <c r="F46" s="32">
        <v>1182045.504</v>
      </c>
      <c r="G46" s="33">
        <f t="shared" ref="G46:J46" si="4">SUM(G37:G45)</f>
        <v>1109782.1199999999</v>
      </c>
      <c r="H46" s="33">
        <f t="shared" si="4"/>
        <v>1086141</v>
      </c>
      <c r="I46" s="54">
        <f t="shared" si="4"/>
        <v>736852</v>
      </c>
      <c r="J46" s="55">
        <f t="shared" si="4"/>
        <v>601202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74"/>
      <c r="Z46" s="74"/>
      <c r="AA46" s="28"/>
      <c r="AB46" s="28"/>
    </row>
    <row r="47" spans="1:28" ht="12.75" customHeight="1" x14ac:dyDescent="0.3">
      <c r="A47" s="9"/>
      <c r="B47" s="9"/>
      <c r="C47" s="25"/>
      <c r="D47" s="45"/>
      <c r="E47" s="65"/>
      <c r="F47" s="19"/>
      <c r="G47" s="37"/>
      <c r="H47" s="37"/>
      <c r="I47" s="36" t="s">
        <v>51</v>
      </c>
      <c r="J47" s="3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  <c r="Z47" s="10"/>
      <c r="AA47" s="9"/>
      <c r="AB47" s="9"/>
    </row>
    <row r="48" spans="1:28" ht="12.75" customHeight="1" x14ac:dyDescent="0.3">
      <c r="A48" s="9">
        <v>6300</v>
      </c>
      <c r="B48" s="9" t="s">
        <v>52</v>
      </c>
      <c r="C48" s="16">
        <f>Budsjett!C43</f>
        <v>181519.9</v>
      </c>
      <c r="D48" s="45">
        <v>180607.9</v>
      </c>
      <c r="E48" s="65">
        <v>175189</v>
      </c>
      <c r="F48" s="19">
        <v>175189</v>
      </c>
      <c r="G48" s="37">
        <v>187037.31</v>
      </c>
      <c r="H48" s="37">
        <v>178384</v>
      </c>
      <c r="I48" s="36">
        <v>162569</v>
      </c>
      <c r="J48" s="37">
        <v>223094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  <c r="Z48" s="10"/>
      <c r="AA48" s="9"/>
      <c r="AB48" s="9"/>
    </row>
    <row r="49" spans="1:28" ht="12.75" customHeight="1" x14ac:dyDescent="0.3">
      <c r="A49" s="9">
        <v>6301</v>
      </c>
      <c r="B49" s="9" t="s">
        <v>53</v>
      </c>
      <c r="C49" s="16">
        <f>Budsjett!C44</f>
        <v>150360</v>
      </c>
      <c r="D49" s="45">
        <v>97573</v>
      </c>
      <c r="E49" s="65">
        <v>83227</v>
      </c>
      <c r="F49" s="19">
        <v>151300</v>
      </c>
      <c r="G49" s="37">
        <v>0</v>
      </c>
      <c r="H49" s="37">
        <v>35040</v>
      </c>
      <c r="I49" s="36">
        <v>78983</v>
      </c>
      <c r="J49" s="37">
        <v>186663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  <c r="Z49" s="10"/>
      <c r="AA49" s="9"/>
      <c r="AB49" s="9"/>
    </row>
    <row r="50" spans="1:28" ht="12.75" customHeight="1" x14ac:dyDescent="0.3">
      <c r="A50" s="9">
        <v>6430</v>
      </c>
      <c r="B50" s="9" t="s">
        <v>54</v>
      </c>
      <c r="C50" s="25">
        <f>Budsjett!C45</f>
        <v>16297.44</v>
      </c>
      <c r="D50" s="45">
        <v>16297.44</v>
      </c>
      <c r="E50" s="65">
        <v>16297</v>
      </c>
      <c r="F50" s="19">
        <v>12000</v>
      </c>
      <c r="G50" s="37">
        <v>20570.349999999999</v>
      </c>
      <c r="H50" s="37">
        <v>15057</v>
      </c>
      <c r="I50" s="36">
        <v>14357</v>
      </c>
      <c r="J50" s="37">
        <v>11149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  <c r="Z50" s="10"/>
      <c r="AA50" s="9"/>
      <c r="AB50" s="9"/>
    </row>
    <row r="51" spans="1:28" ht="12.75" customHeight="1" x14ac:dyDescent="0.3">
      <c r="A51" s="9">
        <v>6540</v>
      </c>
      <c r="B51" s="9" t="s">
        <v>55</v>
      </c>
      <c r="C51" s="25">
        <f>Budsjett!C46</f>
        <v>2500</v>
      </c>
      <c r="D51" s="45">
        <v>2500</v>
      </c>
      <c r="E51" s="65">
        <v>6000</v>
      </c>
      <c r="F51" s="19">
        <v>6000</v>
      </c>
      <c r="G51" s="37">
        <v>4988.7</v>
      </c>
      <c r="H51" s="37"/>
      <c r="I51" s="36">
        <v>7940</v>
      </c>
      <c r="J51" s="37">
        <v>7843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0"/>
      <c r="Z51" s="10"/>
      <c r="AA51" s="9"/>
      <c r="AB51" s="9"/>
    </row>
    <row r="52" spans="1:28" ht="12.75" customHeight="1" x14ac:dyDescent="0.3">
      <c r="A52" s="9">
        <v>6550</v>
      </c>
      <c r="B52" s="9" t="s">
        <v>56</v>
      </c>
      <c r="C52" s="16">
        <f>Budsjett!C47</f>
        <v>3145.37</v>
      </c>
      <c r="D52" s="45">
        <v>2000</v>
      </c>
      <c r="E52" s="65">
        <v>21500</v>
      </c>
      <c r="F52" s="19">
        <v>6000</v>
      </c>
      <c r="G52" s="37">
        <v>0</v>
      </c>
      <c r="H52" s="37">
        <v>200</v>
      </c>
      <c r="I52" s="36">
        <v>5265</v>
      </c>
      <c r="J52" s="3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0"/>
      <c r="Z52" s="10"/>
      <c r="AA52" s="9"/>
      <c r="AB52" s="9"/>
    </row>
    <row r="53" spans="1:28" ht="12.75" customHeight="1" x14ac:dyDescent="0.3">
      <c r="A53" s="75">
        <v>6551</v>
      </c>
      <c r="B53" s="76" t="s">
        <v>57</v>
      </c>
      <c r="C53" s="25"/>
      <c r="D53" s="45"/>
      <c r="E53" s="65"/>
      <c r="F53" s="19"/>
      <c r="G53" s="37"/>
      <c r="H53" s="37"/>
      <c r="I53" s="36">
        <v>25014</v>
      </c>
      <c r="J53" s="3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0"/>
      <c r="Z53" s="10"/>
      <c r="AA53" s="9"/>
      <c r="AB53" s="9"/>
    </row>
    <row r="54" spans="1:28" ht="12.75" customHeight="1" x14ac:dyDescent="0.3">
      <c r="A54" s="9">
        <v>6560</v>
      </c>
      <c r="B54" s="9" t="s">
        <v>58</v>
      </c>
      <c r="C54" s="25">
        <f>Budsjett!$C48</f>
        <v>4500</v>
      </c>
      <c r="D54" s="45">
        <v>4500</v>
      </c>
      <c r="E54" s="77">
        <v>4500</v>
      </c>
      <c r="F54" s="19">
        <v>4500</v>
      </c>
      <c r="G54" s="37">
        <v>9993.68</v>
      </c>
      <c r="H54" s="37">
        <v>13122</v>
      </c>
      <c r="I54" s="36">
        <v>780</v>
      </c>
      <c r="J54" s="37">
        <v>2901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0"/>
      <c r="Z54" s="10"/>
      <c r="AA54" s="9"/>
      <c r="AB54" s="9"/>
    </row>
    <row r="55" spans="1:28" ht="12.75" customHeight="1" x14ac:dyDescent="0.3">
      <c r="A55" s="9">
        <v>6701</v>
      </c>
      <c r="B55" s="9" t="s">
        <v>59</v>
      </c>
      <c r="C55" s="25">
        <f>Budsjett!$C49</f>
        <v>75000</v>
      </c>
      <c r="D55" s="45">
        <v>75000</v>
      </c>
      <c r="E55" s="77">
        <v>75000</v>
      </c>
      <c r="F55" s="19">
        <v>75000</v>
      </c>
      <c r="G55" s="37">
        <v>60563</v>
      </c>
      <c r="H55" s="37">
        <v>64813</v>
      </c>
      <c r="I55" s="36">
        <v>76375</v>
      </c>
      <c r="J55" s="37">
        <v>97500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0"/>
      <c r="Z55" s="10"/>
      <c r="AA55" s="9"/>
      <c r="AB55" s="9"/>
    </row>
    <row r="56" spans="1:28" ht="12.75" customHeight="1" x14ac:dyDescent="0.3">
      <c r="A56" s="9">
        <v>6705</v>
      </c>
      <c r="B56" s="9" t="s">
        <v>60</v>
      </c>
      <c r="C56" s="25">
        <f>Budsjett!$C50</f>
        <v>80000</v>
      </c>
      <c r="D56" s="45">
        <v>80000</v>
      </c>
      <c r="E56" s="77">
        <v>80000</v>
      </c>
      <c r="F56" s="19">
        <v>80000</v>
      </c>
      <c r="G56" s="37">
        <v>0</v>
      </c>
      <c r="H56" s="37">
        <v>11672</v>
      </c>
      <c r="I56" s="21">
        <v>76254</v>
      </c>
      <c r="J56" s="22">
        <v>78025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0"/>
      <c r="Z56" s="10"/>
      <c r="AA56" s="9"/>
      <c r="AB56" s="9"/>
    </row>
    <row r="57" spans="1:28" ht="12.75" customHeight="1" x14ac:dyDescent="0.3">
      <c r="A57" s="9">
        <v>6720</v>
      </c>
      <c r="B57" s="9" t="s">
        <v>61</v>
      </c>
      <c r="C57" s="25">
        <f>Budsjett!$C51</f>
        <v>0</v>
      </c>
      <c r="D57" s="45">
        <v>0</v>
      </c>
      <c r="E57" s="65"/>
      <c r="F57" s="19">
        <v>0</v>
      </c>
      <c r="G57" s="37">
        <v>0</v>
      </c>
      <c r="H57" s="37"/>
      <c r="I57" s="36"/>
      <c r="J57" s="37">
        <v>0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0"/>
      <c r="Z57" s="10"/>
      <c r="AA57" s="9"/>
      <c r="AB57" s="9"/>
    </row>
    <row r="58" spans="1:28" ht="12.75" customHeight="1" x14ac:dyDescent="0.3">
      <c r="A58" s="24">
        <v>6790</v>
      </c>
      <c r="B58" s="24" t="s">
        <v>62</v>
      </c>
      <c r="C58" s="25"/>
      <c r="D58" s="45"/>
      <c r="E58" s="65"/>
      <c r="F58" s="19"/>
      <c r="G58" s="37"/>
      <c r="H58" s="37">
        <v>2000</v>
      </c>
      <c r="I58" s="36"/>
      <c r="J58" s="37">
        <v>31383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0"/>
      <c r="Z58" s="10"/>
      <c r="AA58" s="9"/>
      <c r="AB58" s="9"/>
    </row>
    <row r="59" spans="1:28" ht="12.75" customHeight="1" x14ac:dyDescent="0.3">
      <c r="A59" s="75">
        <v>6800</v>
      </c>
      <c r="B59" s="76" t="s">
        <v>63</v>
      </c>
      <c r="C59" s="25"/>
      <c r="D59" s="45"/>
      <c r="E59" s="65"/>
      <c r="F59" s="19"/>
      <c r="G59" s="37"/>
      <c r="H59" s="37"/>
      <c r="I59" s="36">
        <v>4083</v>
      </c>
      <c r="J59" s="37">
        <v>4456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0"/>
      <c r="Z59" s="10"/>
      <c r="AA59" s="9"/>
      <c r="AB59" s="9"/>
    </row>
    <row r="60" spans="1:28" ht="12.75" customHeight="1" x14ac:dyDescent="0.3">
      <c r="A60" s="9">
        <v>6801</v>
      </c>
      <c r="B60" s="9" t="s">
        <v>64</v>
      </c>
      <c r="C60" s="40">
        <f>Budsjett!$C52</f>
        <v>127317</v>
      </c>
      <c r="D60" s="45">
        <v>128568</v>
      </c>
      <c r="E60" s="65">
        <v>169650.5</v>
      </c>
      <c r="F60" s="19">
        <v>165964</v>
      </c>
      <c r="G60" s="37">
        <v>129565.34</v>
      </c>
      <c r="H60" s="37">
        <v>145886</v>
      </c>
      <c r="I60" s="36">
        <v>115317</v>
      </c>
      <c r="J60" s="37">
        <v>220792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0"/>
      <c r="Z60" s="10"/>
      <c r="AA60" s="9"/>
      <c r="AB60" s="9"/>
    </row>
    <row r="61" spans="1:28" ht="12.75" customHeight="1" x14ac:dyDescent="0.3">
      <c r="A61" s="9">
        <v>6820</v>
      </c>
      <c r="B61" s="9" t="s">
        <v>65</v>
      </c>
      <c r="C61" s="25">
        <f>Budsjett!$C53</f>
        <v>0</v>
      </c>
      <c r="D61" s="45">
        <v>0</v>
      </c>
      <c r="E61" s="65">
        <v>0</v>
      </c>
      <c r="F61" s="19">
        <v>0</v>
      </c>
      <c r="G61" s="37">
        <v>0</v>
      </c>
      <c r="H61" s="37"/>
      <c r="I61" s="21"/>
      <c r="J61" s="22">
        <v>57010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0"/>
      <c r="Z61" s="10"/>
      <c r="AA61" s="9"/>
      <c r="AB61" s="9"/>
    </row>
    <row r="62" spans="1:28" ht="12.75" customHeight="1" x14ac:dyDescent="0.3">
      <c r="A62" s="9">
        <v>6860</v>
      </c>
      <c r="B62" s="9" t="s">
        <v>66</v>
      </c>
      <c r="C62" s="25">
        <f>Budsjett!$C54</f>
        <v>6000</v>
      </c>
      <c r="D62" s="45">
        <v>6000</v>
      </c>
      <c r="E62" s="65">
        <v>3000</v>
      </c>
      <c r="F62" s="19">
        <v>5000</v>
      </c>
      <c r="G62" s="37">
        <v>2000</v>
      </c>
      <c r="H62" s="37"/>
      <c r="I62" s="36">
        <v>30462</v>
      </c>
      <c r="J62" s="37">
        <v>4400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0"/>
      <c r="Z62" s="10"/>
      <c r="AA62" s="9"/>
      <c r="AB62" s="9"/>
    </row>
    <row r="63" spans="1:28" ht="12.75" customHeight="1" x14ac:dyDescent="0.3">
      <c r="A63" s="9">
        <v>6868</v>
      </c>
      <c r="B63" s="9" t="s">
        <v>67</v>
      </c>
      <c r="C63" s="40">
        <f>Budsjett!$C55</f>
        <v>252693.06829931974</v>
      </c>
      <c r="D63" s="45">
        <v>304868.80000000005</v>
      </c>
      <c r="E63" s="65">
        <v>108490</v>
      </c>
      <c r="F63" s="19">
        <v>238205</v>
      </c>
      <c r="G63" s="37">
        <v>16897.580000000002</v>
      </c>
      <c r="H63" s="37">
        <v>43752</v>
      </c>
      <c r="I63" s="21">
        <v>231497</v>
      </c>
      <c r="J63" s="22">
        <v>116534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0"/>
      <c r="Z63" s="10"/>
      <c r="AA63" s="9"/>
      <c r="AB63" s="9"/>
    </row>
    <row r="64" spans="1:28" ht="12.75" customHeight="1" x14ac:dyDescent="0.3">
      <c r="A64" s="9">
        <v>6900</v>
      </c>
      <c r="B64" s="9" t="s">
        <v>68</v>
      </c>
      <c r="C64" s="25">
        <f>Budsjett!$C56</f>
        <v>5535</v>
      </c>
      <c r="D64" s="45">
        <v>5535</v>
      </c>
      <c r="E64" s="65">
        <v>7000</v>
      </c>
      <c r="F64" s="19">
        <v>7000</v>
      </c>
      <c r="G64" s="37">
        <v>5641.47</v>
      </c>
      <c r="H64" s="37">
        <v>5715</v>
      </c>
      <c r="I64" s="21">
        <v>3917</v>
      </c>
      <c r="J64" s="22">
        <v>5080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0"/>
      <c r="Z64" s="10"/>
      <c r="AA64" s="9"/>
      <c r="AB64" s="9"/>
    </row>
    <row r="65" spans="1:28" ht="12.75" customHeight="1" x14ac:dyDescent="0.3">
      <c r="A65" s="9">
        <v>6940</v>
      </c>
      <c r="B65" s="9" t="s">
        <v>69</v>
      </c>
      <c r="C65" s="25">
        <f>Budsjett!$C57</f>
        <v>29000</v>
      </c>
      <c r="D65" s="45">
        <v>29000</v>
      </c>
      <c r="E65" s="65">
        <v>36000</v>
      </c>
      <c r="F65" s="19">
        <v>36000</v>
      </c>
      <c r="G65" s="37">
        <v>7640.59</v>
      </c>
      <c r="H65" s="37">
        <v>262</v>
      </c>
      <c r="I65" s="21">
        <v>34406</v>
      </c>
      <c r="J65" s="22">
        <v>39709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0"/>
      <c r="Z65" s="10"/>
      <c r="AA65" s="9"/>
      <c r="AB65" s="9"/>
    </row>
    <row r="66" spans="1:28" ht="12.75" customHeight="1" x14ac:dyDescent="0.3">
      <c r="A66" s="9">
        <v>6960</v>
      </c>
      <c r="B66" s="9" t="s">
        <v>28</v>
      </c>
      <c r="C66" s="25">
        <f>Budsjett!$C58</f>
        <v>10600</v>
      </c>
      <c r="D66" s="45">
        <v>10600</v>
      </c>
      <c r="E66" s="65">
        <v>10000</v>
      </c>
      <c r="F66" s="19">
        <v>10000</v>
      </c>
      <c r="G66" s="37">
        <v>4743.29</v>
      </c>
      <c r="H66" s="37">
        <f>6792-500</f>
        <v>6292</v>
      </c>
      <c r="I66" s="21">
        <v>5803</v>
      </c>
      <c r="J66" s="22">
        <v>4607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0"/>
      <c r="Z66" s="10"/>
      <c r="AA66" s="9"/>
      <c r="AB66" s="9"/>
    </row>
    <row r="67" spans="1:28" ht="12.75" customHeight="1" x14ac:dyDescent="0.3">
      <c r="A67" s="9">
        <v>7040</v>
      </c>
      <c r="B67" s="9" t="s">
        <v>70</v>
      </c>
      <c r="C67" s="25">
        <f>Budsjett!$C59</f>
        <v>2000</v>
      </c>
      <c r="D67" s="45">
        <v>2000</v>
      </c>
      <c r="E67" s="65">
        <v>2000</v>
      </c>
      <c r="F67" s="19">
        <v>2000</v>
      </c>
      <c r="G67" s="37">
        <v>0</v>
      </c>
      <c r="H67" s="37">
        <f>1912+1170</f>
        <v>3082</v>
      </c>
      <c r="I67" s="36"/>
      <c r="J67" s="37">
        <v>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0"/>
      <c r="Z67" s="10"/>
      <c r="AA67" s="9"/>
      <c r="AB67" s="9"/>
    </row>
    <row r="68" spans="1:28" ht="12.75" customHeight="1" x14ac:dyDescent="0.3">
      <c r="A68" s="9">
        <v>7105</v>
      </c>
      <c r="B68" s="9" t="s">
        <v>71</v>
      </c>
      <c r="C68" s="25">
        <f>Budsjett!$C60</f>
        <v>0</v>
      </c>
      <c r="D68" s="45">
        <v>0</v>
      </c>
      <c r="E68" s="65"/>
      <c r="F68" s="19">
        <v>0</v>
      </c>
      <c r="G68" s="37">
        <v>0</v>
      </c>
      <c r="H68" s="37"/>
      <c r="I68" s="36"/>
      <c r="J68" s="37">
        <v>-3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0"/>
      <c r="Z68" s="10"/>
      <c r="AA68" s="9"/>
      <c r="AB68" s="9"/>
    </row>
    <row r="69" spans="1:28" ht="12.75" customHeight="1" x14ac:dyDescent="0.3">
      <c r="A69" s="9">
        <v>7140</v>
      </c>
      <c r="B69" s="9" t="s">
        <v>72</v>
      </c>
      <c r="C69" s="40">
        <f>Budsjett!$C61</f>
        <v>454950.48</v>
      </c>
      <c r="D69" s="45">
        <v>590022.5</v>
      </c>
      <c r="E69" s="65">
        <v>317510</v>
      </c>
      <c r="F69" s="19">
        <v>626070</v>
      </c>
      <c r="G69" s="37">
        <v>86783.48</v>
      </c>
      <c r="H69" s="37">
        <v>104214</v>
      </c>
      <c r="I69" s="36">
        <v>513630</v>
      </c>
      <c r="J69" s="37">
        <v>493976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0"/>
      <c r="Z69" s="10"/>
      <c r="AA69" s="9"/>
      <c r="AB69" s="9"/>
    </row>
    <row r="70" spans="1:28" ht="12.75" customHeight="1" x14ac:dyDescent="0.3">
      <c r="A70" s="9">
        <v>7145</v>
      </c>
      <c r="B70" s="9" t="s">
        <v>73</v>
      </c>
      <c r="C70" s="40">
        <f>Budsjett!$C62</f>
        <v>315082.4557823129</v>
      </c>
      <c r="D70" s="45">
        <v>359147.19999999995</v>
      </c>
      <c r="E70" s="65">
        <v>232240</v>
      </c>
      <c r="F70" s="19">
        <v>355560</v>
      </c>
      <c r="G70" s="37">
        <v>374396</v>
      </c>
      <c r="H70" s="37">
        <v>17602</v>
      </c>
      <c r="I70" s="21">
        <v>322676</v>
      </c>
      <c r="J70" s="22">
        <v>385971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10"/>
      <c r="Z70" s="10"/>
      <c r="AA70" s="9"/>
      <c r="AB70" s="9"/>
    </row>
    <row r="71" spans="1:28" ht="12.75" customHeight="1" x14ac:dyDescent="0.3">
      <c r="A71" s="9">
        <v>7320</v>
      </c>
      <c r="B71" s="9" t="s">
        <v>74</v>
      </c>
      <c r="C71" s="25">
        <f>Budsjett!$C63</f>
        <v>75000</v>
      </c>
      <c r="D71" s="45">
        <v>75000</v>
      </c>
      <c r="E71" s="65">
        <v>20000</v>
      </c>
      <c r="F71" s="19">
        <v>20000</v>
      </c>
      <c r="G71" s="37">
        <v>9960.9</v>
      </c>
      <c r="H71" s="37">
        <v>13487</v>
      </c>
      <c r="I71" s="21">
        <v>45165</v>
      </c>
      <c r="J71" s="22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0"/>
      <c r="Z71" s="10"/>
      <c r="AA71" s="9"/>
      <c r="AB71" s="9"/>
    </row>
    <row r="72" spans="1:28" ht="12.75" customHeight="1" x14ac:dyDescent="0.3">
      <c r="A72" s="9">
        <v>7400</v>
      </c>
      <c r="B72" s="24" t="s">
        <v>75</v>
      </c>
      <c r="C72" s="40">
        <f>Budsjett!$C64</f>
        <v>275984.37903287262</v>
      </c>
      <c r="D72" s="78">
        <v>475716.03685194813</v>
      </c>
      <c r="E72" s="65">
        <v>20373.333333333321</v>
      </c>
      <c r="F72" s="26">
        <v>219668.03547999985</v>
      </c>
      <c r="G72" s="79">
        <v>27432.83</v>
      </c>
      <c r="H72" s="79"/>
      <c r="I72" s="36"/>
      <c r="J72" s="37">
        <v>0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10"/>
      <c r="Z72" s="10"/>
      <c r="AA72" s="9"/>
      <c r="AB72" s="9"/>
    </row>
    <row r="73" spans="1:28" ht="12.75" customHeight="1" x14ac:dyDescent="0.3">
      <c r="A73" s="9">
        <v>7601</v>
      </c>
      <c r="B73" s="9" t="s">
        <v>76</v>
      </c>
      <c r="C73" s="40">
        <f>Budsjett!$C65</f>
        <v>17877.410400000001</v>
      </c>
      <c r="D73" s="45">
        <v>18500</v>
      </c>
      <c r="E73" s="65">
        <v>19425</v>
      </c>
      <c r="F73" s="19">
        <v>17425</v>
      </c>
      <c r="G73" s="37">
        <v>24896.38</v>
      </c>
      <c r="H73" s="37">
        <v>21321</v>
      </c>
      <c r="I73" s="36">
        <v>17418</v>
      </c>
      <c r="J73" s="37">
        <v>19925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0"/>
      <c r="Z73" s="10"/>
      <c r="AA73" s="9"/>
      <c r="AB73" s="9"/>
    </row>
    <row r="74" spans="1:28" ht="12.75" customHeight="1" x14ac:dyDescent="0.3">
      <c r="A74" s="80">
        <v>7610</v>
      </c>
      <c r="B74" s="80" t="s">
        <v>77</v>
      </c>
      <c r="C74" s="25">
        <f>Budsjett!$C66</f>
        <v>0</v>
      </c>
      <c r="D74" s="45">
        <v>0</v>
      </c>
      <c r="E74" s="65"/>
      <c r="F74" s="19">
        <v>0</v>
      </c>
      <c r="G74" s="37">
        <v>0</v>
      </c>
      <c r="H74" s="37"/>
      <c r="I74" s="36">
        <v>25180</v>
      </c>
      <c r="J74" s="37">
        <v>255624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0"/>
      <c r="Z74" s="10"/>
      <c r="AA74" s="9"/>
      <c r="AB74" s="9"/>
    </row>
    <row r="75" spans="1:28" ht="12.75" customHeight="1" x14ac:dyDescent="0.3">
      <c r="A75" s="9">
        <v>7612</v>
      </c>
      <c r="B75" s="9" t="s">
        <v>78</v>
      </c>
      <c r="C75" s="25"/>
      <c r="D75" s="45"/>
      <c r="E75" s="65"/>
      <c r="F75" s="19">
        <v>0</v>
      </c>
      <c r="G75" s="37">
        <v>0</v>
      </c>
      <c r="H75" s="37"/>
      <c r="I75" s="36"/>
      <c r="J75" s="3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10"/>
      <c r="Z75" s="10"/>
      <c r="AA75" s="9"/>
      <c r="AB75" s="9"/>
    </row>
    <row r="76" spans="1:28" ht="12.75" customHeight="1" x14ac:dyDescent="0.3">
      <c r="A76" s="9">
        <v>7620</v>
      </c>
      <c r="B76" s="9" t="s">
        <v>79</v>
      </c>
      <c r="C76" s="25">
        <f>Budsjett!$C67</f>
        <v>0</v>
      </c>
      <c r="D76" s="45">
        <v>0</v>
      </c>
      <c r="E76" s="65"/>
      <c r="F76" s="19">
        <v>0</v>
      </c>
      <c r="G76" s="37">
        <v>0</v>
      </c>
      <c r="H76" s="37"/>
      <c r="I76" s="36">
        <v>320</v>
      </c>
      <c r="J76" s="37">
        <v>12476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0"/>
      <c r="Z76" s="10"/>
      <c r="AA76" s="9"/>
      <c r="AB76" s="9"/>
    </row>
    <row r="77" spans="1:28" ht="12.75" customHeight="1" x14ac:dyDescent="0.3">
      <c r="A77" s="9">
        <v>7630</v>
      </c>
      <c r="B77" s="9" t="s">
        <v>80</v>
      </c>
      <c r="C77" s="25">
        <f>Budsjett!$C68</f>
        <v>10000</v>
      </c>
      <c r="D77" s="45">
        <v>10000</v>
      </c>
      <c r="E77" s="65"/>
      <c r="F77" s="19">
        <v>0</v>
      </c>
      <c r="G77" s="37">
        <v>0</v>
      </c>
      <c r="H77" s="37"/>
      <c r="I77" s="36">
        <v>30000</v>
      </c>
      <c r="J77" s="3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0"/>
      <c r="Z77" s="10"/>
      <c r="AA77" s="9"/>
      <c r="AB77" s="9"/>
    </row>
    <row r="78" spans="1:28" ht="12.75" customHeight="1" x14ac:dyDescent="0.3">
      <c r="A78" s="9">
        <v>7650</v>
      </c>
      <c r="B78" s="9" t="s">
        <v>81</v>
      </c>
      <c r="C78" s="25">
        <f>Budsjett!$C69</f>
        <v>0</v>
      </c>
      <c r="D78" s="45">
        <v>0</v>
      </c>
      <c r="E78" s="65"/>
      <c r="F78" s="19">
        <v>0</v>
      </c>
      <c r="G78" s="37">
        <v>0</v>
      </c>
      <c r="H78" s="37"/>
      <c r="I78" s="36"/>
      <c r="J78" s="37">
        <v>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0"/>
      <c r="Z78" s="10"/>
      <c r="AA78" s="9"/>
      <c r="AB78" s="9"/>
    </row>
    <row r="79" spans="1:28" ht="12.75" customHeight="1" x14ac:dyDescent="0.3">
      <c r="A79" s="9">
        <v>7770</v>
      </c>
      <c r="B79" s="9" t="s">
        <v>82</v>
      </c>
      <c r="C79" s="25">
        <f>Budsjett!$C70</f>
        <v>11790</v>
      </c>
      <c r="D79" s="45">
        <v>11790</v>
      </c>
      <c r="E79" s="65">
        <v>9000</v>
      </c>
      <c r="F79" s="19">
        <v>9000</v>
      </c>
      <c r="G79" s="37">
        <v>9406.31</v>
      </c>
      <c r="H79" s="37">
        <v>7842</v>
      </c>
      <c r="I79" s="81">
        <v>9318</v>
      </c>
      <c r="J79" s="79">
        <v>12949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10"/>
      <c r="Z79" s="10"/>
      <c r="AA79" s="9"/>
      <c r="AB79" s="9"/>
    </row>
    <row r="80" spans="1:28" ht="12.75" customHeight="1" x14ac:dyDescent="0.3">
      <c r="A80" s="9">
        <v>7801</v>
      </c>
      <c r="B80" s="9" t="s">
        <v>83</v>
      </c>
      <c r="C80" s="25">
        <f>Budsjett!$C71</f>
        <v>0</v>
      </c>
      <c r="D80" s="45">
        <v>0</v>
      </c>
      <c r="E80" s="65"/>
      <c r="F80" s="19">
        <v>0</v>
      </c>
      <c r="G80" s="37">
        <v>0</v>
      </c>
      <c r="H80" s="37"/>
      <c r="I80" s="36"/>
      <c r="J80" s="37">
        <v>0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0"/>
      <c r="Z80" s="10"/>
      <c r="AA80" s="9"/>
      <c r="AB80" s="9"/>
    </row>
    <row r="81" spans="1:28" ht="12.75" customHeight="1" x14ac:dyDescent="0.3">
      <c r="A81" s="9">
        <v>7830</v>
      </c>
      <c r="B81" s="9" t="s">
        <v>84</v>
      </c>
      <c r="C81" s="25">
        <f>Budsjett!$C72</f>
        <v>0</v>
      </c>
      <c r="D81" s="45">
        <v>0</v>
      </c>
      <c r="E81" s="65"/>
      <c r="F81" s="19">
        <v>0</v>
      </c>
      <c r="G81" s="37">
        <v>18400</v>
      </c>
      <c r="H81" s="37"/>
      <c r="I81" s="36"/>
      <c r="J81" s="37">
        <v>54212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0"/>
      <c r="Z81" s="10"/>
      <c r="AA81" s="9"/>
      <c r="AB81" s="9"/>
    </row>
    <row r="82" spans="1:28" ht="12.75" customHeight="1" x14ac:dyDescent="0.3">
      <c r="A82" s="9">
        <v>7970</v>
      </c>
      <c r="B82" s="9" t="s">
        <v>85</v>
      </c>
      <c r="C82" s="25">
        <f>Budsjett!$C73</f>
        <v>2000</v>
      </c>
      <c r="D82" s="45">
        <v>2000</v>
      </c>
      <c r="E82" s="65">
        <v>2000</v>
      </c>
      <c r="F82" s="19">
        <v>2000</v>
      </c>
      <c r="G82" s="37">
        <v>0</v>
      </c>
      <c r="H82" s="37"/>
      <c r="I82" s="36"/>
      <c r="J82" s="37">
        <v>1500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0"/>
      <c r="Z82" s="10"/>
      <c r="AA82" s="9"/>
      <c r="AB82" s="9"/>
    </row>
    <row r="83" spans="1:28" ht="12.75" customHeight="1" x14ac:dyDescent="0.3">
      <c r="A83" s="9"/>
      <c r="B83" s="28" t="s">
        <v>86</v>
      </c>
      <c r="C83" s="29">
        <f>SUM(C48:C82)</f>
        <v>2109152.503514505</v>
      </c>
      <c r="D83" s="30">
        <f>SUM(D48:D82)</f>
        <v>2487225.876851948</v>
      </c>
      <c r="E83" s="29">
        <f>SUM(E48:E82)</f>
        <v>1418401.8333333333</v>
      </c>
      <c r="F83" s="32">
        <v>2223881.0354800001</v>
      </c>
      <c r="G83" s="53">
        <f t="shared" ref="G83:J83" si="5">SUM(G48:G82)</f>
        <v>1000917.2100000001</v>
      </c>
      <c r="H83" s="53">
        <f t="shared" si="5"/>
        <v>689743</v>
      </c>
      <c r="I83" s="54">
        <f t="shared" si="5"/>
        <v>1836729</v>
      </c>
      <c r="J83" s="55">
        <f t="shared" si="5"/>
        <v>2327776</v>
      </c>
      <c r="K83" s="23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0"/>
      <c r="Z83" s="10"/>
      <c r="AA83" s="9"/>
      <c r="AB83" s="9"/>
    </row>
    <row r="84" spans="1:28" ht="12.75" customHeight="1" x14ac:dyDescent="0.3">
      <c r="A84" s="11"/>
      <c r="B84" s="82" t="s">
        <v>87</v>
      </c>
      <c r="C84" s="58">
        <f t="shared" ref="C84:E84" si="6">C35+C46+C83</f>
        <v>5700537.8515580762</v>
      </c>
      <c r="D84" s="83">
        <f t="shared" si="6"/>
        <v>6969136.3632805189</v>
      </c>
      <c r="E84" s="58">
        <f t="shared" si="6"/>
        <v>4541779.833333333</v>
      </c>
      <c r="F84" s="84">
        <v>6211934.6152800005</v>
      </c>
      <c r="G84" s="85">
        <f t="shared" ref="G84:J84" si="7">G35+G46+G83</f>
        <v>3562288.84</v>
      </c>
      <c r="H84" s="85">
        <f t="shared" si="7"/>
        <v>3066419</v>
      </c>
      <c r="I84" s="86">
        <f t="shared" si="7"/>
        <v>6423885</v>
      </c>
      <c r="J84" s="87">
        <f t="shared" si="7"/>
        <v>5917064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0"/>
      <c r="Z84" s="10"/>
      <c r="AA84" s="9"/>
      <c r="AB84" s="9"/>
    </row>
    <row r="85" spans="1:28" ht="12.75" customHeight="1" x14ac:dyDescent="0.3">
      <c r="A85" s="28"/>
      <c r="B85" s="88"/>
      <c r="C85" s="89"/>
      <c r="D85" s="90"/>
      <c r="E85" s="89"/>
      <c r="F85" s="91"/>
      <c r="G85" s="90"/>
      <c r="H85" s="90"/>
      <c r="I85" s="90"/>
      <c r="J85" s="9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0"/>
      <c r="Z85" s="10"/>
      <c r="AA85" s="9"/>
      <c r="AB85" s="9"/>
    </row>
    <row r="86" spans="1:28" ht="12.75" customHeight="1" x14ac:dyDescent="0.35">
      <c r="A86" s="92"/>
      <c r="B86" s="93" t="s">
        <v>88</v>
      </c>
      <c r="C86" s="94">
        <f t="shared" ref="C86:E86" si="8">C24-C84</f>
        <v>108579.32681565918</v>
      </c>
      <c r="D86" s="94">
        <f t="shared" si="8"/>
        <v>-198624.10034857132</v>
      </c>
      <c r="E86" s="94">
        <f t="shared" si="8"/>
        <v>368180.96666666772</v>
      </c>
      <c r="F86" s="95">
        <v>153796.70298242901</v>
      </c>
      <c r="G86" s="96">
        <f t="shared" ref="G86:J86" si="9">G24-G84</f>
        <v>394247.16000000015</v>
      </c>
      <c r="H86" s="96">
        <f t="shared" si="9"/>
        <v>689670</v>
      </c>
      <c r="I86" s="97">
        <f t="shared" si="9"/>
        <v>2013451</v>
      </c>
      <c r="J86" s="98">
        <f t="shared" si="9"/>
        <v>865582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0"/>
      <c r="Z86" s="10"/>
      <c r="AA86" s="9"/>
      <c r="AB86" s="9"/>
    </row>
    <row r="87" spans="1:28" ht="12.75" customHeight="1" x14ac:dyDescent="0.3">
      <c r="A87" s="9"/>
      <c r="B87" s="9"/>
      <c r="C87" s="25"/>
      <c r="D87" s="45"/>
      <c r="E87" s="65"/>
      <c r="F87" s="19"/>
      <c r="G87" s="37"/>
      <c r="H87" s="37"/>
      <c r="I87" s="36"/>
      <c r="J87" s="3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  <c r="Z87" s="10"/>
      <c r="AA87" s="9"/>
      <c r="AB87" s="9"/>
    </row>
    <row r="88" spans="1:28" ht="12.75" customHeight="1" x14ac:dyDescent="0.3">
      <c r="A88" s="9">
        <v>8040</v>
      </c>
      <c r="B88" s="9" t="s">
        <v>89</v>
      </c>
      <c r="C88" s="25">
        <f>Budsjett!$C81</f>
        <v>20000</v>
      </c>
      <c r="D88" s="45">
        <v>30000</v>
      </c>
      <c r="E88" s="65">
        <v>30000</v>
      </c>
      <c r="F88" s="19">
        <v>30000</v>
      </c>
      <c r="G88" s="37">
        <v>16888</v>
      </c>
      <c r="H88" s="37">
        <v>30947</v>
      </c>
      <c r="I88" s="36">
        <v>35618</v>
      </c>
      <c r="J88" s="3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  <c r="Z88" s="10"/>
      <c r="AA88" s="9"/>
      <c r="AB88" s="9"/>
    </row>
    <row r="89" spans="1:28" ht="12.75" customHeight="1" x14ac:dyDescent="0.3">
      <c r="A89" s="9">
        <v>8050</v>
      </c>
      <c r="B89" s="9" t="s">
        <v>90</v>
      </c>
      <c r="C89" s="25"/>
      <c r="D89" s="45"/>
      <c r="E89" s="65"/>
      <c r="F89" s="19"/>
      <c r="G89" s="37"/>
      <c r="H89" s="37"/>
      <c r="I89" s="36"/>
      <c r="J89" s="37">
        <v>24279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  <c r="Z89" s="10"/>
      <c r="AA89" s="9"/>
      <c r="AB89" s="9"/>
    </row>
    <row r="90" spans="1:28" ht="12.75" customHeight="1" x14ac:dyDescent="0.3">
      <c r="A90" s="9">
        <v>8080</v>
      </c>
      <c r="B90" s="9" t="s">
        <v>91</v>
      </c>
      <c r="C90" s="25"/>
      <c r="D90" s="45"/>
      <c r="E90" s="65"/>
      <c r="F90" s="19"/>
      <c r="G90" s="37"/>
      <c r="H90" s="37">
        <v>1905</v>
      </c>
      <c r="I90" s="36"/>
      <c r="J90" s="3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  <c r="Z90" s="10"/>
      <c r="AA90" s="9"/>
      <c r="AB90" s="9"/>
    </row>
    <row r="91" spans="1:28" ht="12.75" customHeight="1" x14ac:dyDescent="0.3">
      <c r="A91" s="28"/>
      <c r="B91" s="28" t="s">
        <v>92</v>
      </c>
      <c r="C91" s="29">
        <f>SUM(C88:C90)</f>
        <v>20000</v>
      </c>
      <c r="D91" s="30">
        <v>30000</v>
      </c>
      <c r="E91" s="71">
        <f t="shared" ref="E91:H91" si="10">SUM(E88:E90)</f>
        <v>30000</v>
      </c>
      <c r="F91" s="99">
        <f t="shared" si="10"/>
        <v>30000</v>
      </c>
      <c r="G91" s="33">
        <f t="shared" si="10"/>
        <v>16888</v>
      </c>
      <c r="H91" s="33">
        <f t="shared" si="10"/>
        <v>32852</v>
      </c>
      <c r="I91" s="54">
        <f t="shared" ref="I91:J91" si="11">SUM(I89)</f>
        <v>0</v>
      </c>
      <c r="J91" s="55">
        <f t="shared" si="11"/>
        <v>24279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74"/>
      <c r="Z91" s="74"/>
      <c r="AA91" s="28"/>
      <c r="AB91" s="28"/>
    </row>
    <row r="92" spans="1:28" ht="12.75" customHeight="1" x14ac:dyDescent="0.3">
      <c r="A92" s="9"/>
      <c r="B92" s="28"/>
      <c r="C92" s="25"/>
      <c r="D92" s="100"/>
      <c r="E92" s="73"/>
      <c r="F92" s="32"/>
      <c r="G92" s="55"/>
      <c r="H92" s="55"/>
      <c r="I92" s="36"/>
      <c r="J92" s="3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0"/>
      <c r="Z92" s="10"/>
      <c r="AA92" s="9"/>
      <c r="AB92" s="9"/>
    </row>
    <row r="93" spans="1:28" ht="12.75" customHeight="1" x14ac:dyDescent="0.3">
      <c r="A93" s="9">
        <v>8091</v>
      </c>
      <c r="B93" s="9" t="s">
        <v>93</v>
      </c>
      <c r="C93" s="25"/>
      <c r="D93" s="45"/>
      <c r="E93" s="65"/>
      <c r="F93" s="19"/>
      <c r="G93" s="37">
        <v>-706</v>
      </c>
      <c r="H93" s="37"/>
      <c r="I93" s="36">
        <v>1463</v>
      </c>
      <c r="J93" s="37">
        <v>2625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  <c r="Z93" s="10"/>
      <c r="AA93" s="9"/>
      <c r="AB93" s="9"/>
    </row>
    <row r="94" spans="1:28" ht="12.75" customHeight="1" x14ac:dyDescent="0.3">
      <c r="A94" s="9">
        <v>8110</v>
      </c>
      <c r="B94" s="9" t="s">
        <v>94</v>
      </c>
      <c r="C94" s="25"/>
      <c r="D94" s="45"/>
      <c r="E94" s="65"/>
      <c r="F94" s="19"/>
      <c r="G94" s="37"/>
      <c r="H94" s="37"/>
      <c r="I94" s="36"/>
      <c r="J94" s="37">
        <v>0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  <c r="Z94" s="10"/>
      <c r="AA94" s="9"/>
      <c r="AB94" s="9"/>
    </row>
    <row r="95" spans="1:28" ht="12.75" customHeight="1" x14ac:dyDescent="0.3">
      <c r="A95" s="9">
        <v>8140</v>
      </c>
      <c r="B95" s="9" t="s">
        <v>95</v>
      </c>
      <c r="C95" s="101"/>
      <c r="D95" s="45"/>
      <c r="E95" s="65"/>
      <c r="F95" s="102"/>
      <c r="G95" s="37"/>
      <c r="H95" s="37"/>
      <c r="I95" s="36"/>
      <c r="J95" s="37">
        <v>54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  <c r="Z95" s="10"/>
      <c r="AA95" s="9"/>
      <c r="AB95" s="9"/>
    </row>
    <row r="96" spans="1:28" ht="12.75" customHeight="1" x14ac:dyDescent="0.3">
      <c r="A96" s="103">
        <v>8179</v>
      </c>
      <c r="B96" s="9" t="s">
        <v>96</v>
      </c>
      <c r="C96" s="25"/>
      <c r="D96" s="45"/>
      <c r="E96" s="65"/>
      <c r="F96" s="19">
        <v>0</v>
      </c>
      <c r="G96" s="37"/>
      <c r="H96" s="37"/>
      <c r="I96" s="104"/>
      <c r="J96" s="105">
        <v>100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Z96" s="10"/>
      <c r="AA96" s="9"/>
      <c r="AB96" s="9"/>
    </row>
    <row r="97" spans="1:28" ht="12.75" customHeight="1" x14ac:dyDescent="0.3">
      <c r="A97" s="28"/>
      <c r="B97" s="28" t="s">
        <v>97</v>
      </c>
      <c r="C97" s="29">
        <f>SUM(C93:C96)</f>
        <v>0</v>
      </c>
      <c r="D97" s="30">
        <v>0</v>
      </c>
      <c r="E97" s="73"/>
      <c r="F97" s="99">
        <f>SUM(F93:F96)</f>
        <v>0</v>
      </c>
      <c r="G97" s="33">
        <v>-706</v>
      </c>
      <c r="H97" s="33">
        <f>SUM(H93:H96)</f>
        <v>0</v>
      </c>
      <c r="I97" s="54"/>
      <c r="J97" s="55">
        <f>SUM(J93:J96)</f>
        <v>2779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74"/>
      <c r="Z97" s="74"/>
      <c r="AA97" s="28"/>
      <c r="AB97" s="28"/>
    </row>
    <row r="98" spans="1:28" ht="12.75" customHeight="1" x14ac:dyDescent="0.3">
      <c r="A98" s="28"/>
      <c r="B98" s="28" t="s">
        <v>98</v>
      </c>
      <c r="C98" s="29">
        <f>C91+C97</f>
        <v>20000</v>
      </c>
      <c r="D98" s="30">
        <f t="shared" ref="D98:F98" si="12">D91-D97</f>
        <v>30000</v>
      </c>
      <c r="E98" s="71">
        <f t="shared" si="12"/>
        <v>30000</v>
      </c>
      <c r="F98" s="99">
        <f t="shared" si="12"/>
        <v>30000</v>
      </c>
      <c r="G98" s="33">
        <f>G91+G97</f>
        <v>16182</v>
      </c>
      <c r="H98" s="33">
        <f>H91-H97</f>
        <v>32852</v>
      </c>
      <c r="I98" s="106">
        <f>SUM(I88:I96)</f>
        <v>37081</v>
      </c>
      <c r="J98" s="107">
        <f>J91-J97</f>
        <v>21500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74"/>
      <c r="Z98" s="74"/>
      <c r="AA98" s="28"/>
      <c r="AB98" s="28"/>
    </row>
    <row r="99" spans="1:28" ht="12.75" customHeight="1" x14ac:dyDescent="0.35">
      <c r="A99" s="92"/>
      <c r="B99" s="108" t="s">
        <v>99</v>
      </c>
      <c r="C99" s="94">
        <f t="shared" ref="C99:J99" si="13">C86+C98</f>
        <v>128579.32681565918</v>
      </c>
      <c r="D99" s="94">
        <f t="shared" si="13"/>
        <v>-168624.10034857132</v>
      </c>
      <c r="E99" s="109">
        <f t="shared" si="13"/>
        <v>398180.96666666772</v>
      </c>
      <c r="F99" s="109">
        <f t="shared" si="13"/>
        <v>183796.70298242901</v>
      </c>
      <c r="G99" s="109">
        <f t="shared" si="13"/>
        <v>410429.16000000015</v>
      </c>
      <c r="H99" s="109">
        <f t="shared" si="13"/>
        <v>722522</v>
      </c>
      <c r="I99" s="110">
        <f t="shared" si="13"/>
        <v>2050532</v>
      </c>
      <c r="J99" s="98">
        <f t="shared" si="13"/>
        <v>887082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0"/>
      <c r="Z99" s="10"/>
      <c r="AA99" s="9"/>
      <c r="AB99" s="9"/>
    </row>
    <row r="100" spans="1:28" ht="12.75" customHeight="1" x14ac:dyDescent="0.3">
      <c r="A100" s="9"/>
      <c r="B100" s="9"/>
      <c r="C100" s="25"/>
      <c r="D100" s="45"/>
      <c r="E100" s="111"/>
      <c r="F100" s="64"/>
      <c r="G100" s="37"/>
      <c r="H100" s="37"/>
      <c r="I100" s="36"/>
      <c r="J100" s="3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0"/>
      <c r="Z100" s="10"/>
      <c r="AA100" s="9"/>
      <c r="AB100" s="9"/>
    </row>
    <row r="101" spans="1:28" ht="12.75" customHeight="1" x14ac:dyDescent="0.3">
      <c r="A101" s="9"/>
      <c r="B101" s="28" t="s">
        <v>100</v>
      </c>
      <c r="C101" s="112"/>
      <c r="D101" s="100"/>
      <c r="E101" s="71"/>
      <c r="F101" s="113"/>
      <c r="G101" s="55"/>
      <c r="H101" s="55"/>
      <c r="I101" s="114"/>
      <c r="J101" s="115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  <c r="Z101" s="10"/>
      <c r="AA101" s="9"/>
      <c r="AB101" s="9"/>
    </row>
    <row r="102" spans="1:28" ht="12.75" customHeight="1" x14ac:dyDescent="0.3">
      <c r="A102" s="9">
        <f>Budsjett!A94</f>
        <v>2025</v>
      </c>
      <c r="B102" s="9" t="str">
        <f>Budsjett!B94</f>
        <v>Avbestillingsforsikring</v>
      </c>
      <c r="C102" s="25">
        <f>Budsjett!$C94</f>
        <v>-11400</v>
      </c>
      <c r="D102" s="37">
        <v>-19400</v>
      </c>
      <c r="E102" s="111"/>
      <c r="F102" s="64"/>
      <c r="G102" s="37">
        <v>0</v>
      </c>
      <c r="H102" s="37">
        <v>0</v>
      </c>
      <c r="I102" s="21">
        <v>21400</v>
      </c>
      <c r="J102" s="22">
        <v>-114079.88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0"/>
      <c r="Z102" s="10"/>
      <c r="AA102" s="9"/>
      <c r="AB102" s="9"/>
    </row>
    <row r="103" spans="1:28" ht="12.75" customHeight="1" x14ac:dyDescent="0.3">
      <c r="A103" s="9">
        <f>Budsjett!A95</f>
        <v>2028</v>
      </c>
      <c r="B103" s="9" t="str">
        <f>Budsjett!B95</f>
        <v>Delegasjonsfondet</v>
      </c>
      <c r="C103" s="25">
        <f>Budsjett!$C95</f>
        <v>-169826.02474466694</v>
      </c>
      <c r="D103" s="37">
        <v>79233.528428571037</v>
      </c>
      <c r="E103" s="111">
        <v>-16328</v>
      </c>
      <c r="F103" s="64"/>
      <c r="G103" s="37">
        <v>4156</v>
      </c>
      <c r="H103" s="37">
        <v>-168699</v>
      </c>
      <c r="I103" s="21">
        <v>-1502.1522217569873</v>
      </c>
      <c r="J103" s="22">
        <v>81212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0"/>
      <c r="Z103" s="10"/>
      <c r="AA103" s="9"/>
      <c r="AB103" s="9"/>
    </row>
    <row r="104" spans="1:28" ht="12.75" customHeight="1" x14ac:dyDescent="0.3">
      <c r="A104" s="9">
        <f>Budsjett!A96</f>
        <v>2029</v>
      </c>
      <c r="B104" s="9" t="str">
        <f>Budsjett!B96</f>
        <v>Østeuropafondet</v>
      </c>
      <c r="C104" s="25">
        <f>Budsjett!$C96</f>
        <v>0</v>
      </c>
      <c r="D104" s="37">
        <v>0</v>
      </c>
      <c r="E104" s="111"/>
      <c r="F104" s="64"/>
      <c r="G104" s="37">
        <v>0</v>
      </c>
      <c r="H104" s="37"/>
      <c r="I104" s="21">
        <v>0</v>
      </c>
      <c r="J104" s="22">
        <v>0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0"/>
      <c r="Z104" s="10"/>
      <c r="AA104" s="9"/>
      <c r="AB104" s="9"/>
    </row>
    <row r="105" spans="1:28" ht="12.75" customHeight="1" x14ac:dyDescent="0.3">
      <c r="A105" s="9">
        <f>Budsjett!A97</f>
        <v>2040</v>
      </c>
      <c r="B105" s="9" t="str">
        <f>Budsjett!B97</f>
        <v>Reservefond</v>
      </c>
      <c r="C105" s="25">
        <f>Budsjett!$C97</f>
        <v>0</v>
      </c>
      <c r="D105" s="37">
        <v>0</v>
      </c>
      <c r="E105" s="111"/>
      <c r="F105" s="64"/>
      <c r="G105" s="37">
        <v>22408</v>
      </c>
      <c r="H105" s="37">
        <v>-7733</v>
      </c>
      <c r="I105" s="21"/>
      <c r="J105" s="22">
        <v>360379.63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0"/>
      <c r="Z105" s="10"/>
      <c r="AA105" s="9"/>
      <c r="AB105" s="9"/>
    </row>
    <row r="106" spans="1:28" ht="12.75" customHeight="1" x14ac:dyDescent="0.3">
      <c r="A106" s="9">
        <f>Budsjett!A98</f>
        <v>2041</v>
      </c>
      <c r="B106" s="9" t="str">
        <f>Budsjett!B98</f>
        <v>STAI-fondet</v>
      </c>
      <c r="C106" s="25">
        <f>Budsjett!$C98</f>
        <v>-5000</v>
      </c>
      <c r="D106" s="37">
        <v>-7500</v>
      </c>
      <c r="E106" s="111">
        <v>-7500</v>
      </c>
      <c r="F106" s="64"/>
      <c r="G106" s="37">
        <v>4045</v>
      </c>
      <c r="H106" s="37">
        <v>-7733</v>
      </c>
      <c r="I106" s="21">
        <v>6750</v>
      </c>
      <c r="J106" s="2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0"/>
      <c r="Z106" s="10"/>
      <c r="AA106" s="9"/>
      <c r="AB106" s="9"/>
    </row>
    <row r="107" spans="1:28" ht="12.75" customHeight="1" x14ac:dyDescent="0.3">
      <c r="A107" s="9">
        <f>Budsjett!A99</f>
        <v>2060</v>
      </c>
      <c r="B107" s="9" t="str">
        <f>Budsjett!B99</f>
        <v>Stipendfond</v>
      </c>
      <c r="C107" s="25">
        <f>Budsjett!$C99</f>
        <v>10000</v>
      </c>
      <c r="D107" s="37">
        <v>10000</v>
      </c>
      <c r="E107" s="111">
        <v>-10885</v>
      </c>
      <c r="F107" s="64"/>
      <c r="G107" s="37">
        <v>0</v>
      </c>
      <c r="H107" s="37">
        <v>-42175</v>
      </c>
      <c r="I107" s="21"/>
      <c r="J107" s="2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0"/>
      <c r="Z107" s="10"/>
      <c r="AA107" s="9"/>
      <c r="AB107" s="9"/>
    </row>
    <row r="108" spans="1:28" ht="12.75" customHeight="1" x14ac:dyDescent="0.3">
      <c r="A108" s="9"/>
      <c r="B108" s="28" t="s">
        <v>101</v>
      </c>
      <c r="C108" s="29">
        <f t="shared" ref="C108:J108" si="14">SUM(C102:C107)</f>
        <v>-176226.02474466694</v>
      </c>
      <c r="D108" s="53">
        <f t="shared" si="14"/>
        <v>62333.528428571037</v>
      </c>
      <c r="E108" s="71">
        <f t="shared" si="14"/>
        <v>-34713</v>
      </c>
      <c r="F108" s="99">
        <f t="shared" si="14"/>
        <v>0</v>
      </c>
      <c r="G108" s="53">
        <f t="shared" si="14"/>
        <v>30609</v>
      </c>
      <c r="H108" s="53">
        <f t="shared" si="14"/>
        <v>-226340</v>
      </c>
      <c r="I108" s="34">
        <f t="shared" si="14"/>
        <v>26647.847778243013</v>
      </c>
      <c r="J108" s="35">
        <f t="shared" si="14"/>
        <v>327511.75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0"/>
      <c r="Z108" s="10"/>
      <c r="AA108" s="9"/>
      <c r="AB108" s="9"/>
    </row>
    <row r="109" spans="1:28" ht="12.75" customHeight="1" x14ac:dyDescent="0.35">
      <c r="A109" s="116">
        <v>8980</v>
      </c>
      <c r="B109" s="108" t="s">
        <v>102</v>
      </c>
      <c r="C109" s="94">
        <f t="shared" ref="C109:F109" si="15">C99+C108</f>
        <v>-47646.697929007758</v>
      </c>
      <c r="D109" s="94">
        <f t="shared" si="15"/>
        <v>-106290.57192000028</v>
      </c>
      <c r="E109" s="109">
        <f t="shared" si="15"/>
        <v>363467.96666666772</v>
      </c>
      <c r="F109" s="109">
        <f t="shared" si="15"/>
        <v>183796.70298242901</v>
      </c>
      <c r="G109" s="109">
        <f>G99-G108</f>
        <v>379820.16000000015</v>
      </c>
      <c r="H109" s="109">
        <f>H99+H108</f>
        <v>496182</v>
      </c>
      <c r="I109" s="110">
        <v>35341.042540598661</v>
      </c>
      <c r="J109" s="98">
        <f>J99-J108</f>
        <v>559570.25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0"/>
      <c r="Z109" s="10"/>
      <c r="AA109" s="9"/>
      <c r="AB109" s="9"/>
    </row>
    <row r="110" spans="1:28" ht="12.75" customHeight="1" x14ac:dyDescent="0.3">
      <c r="A110" s="9"/>
      <c r="B110" s="9"/>
      <c r="C110" s="117"/>
      <c r="D110" s="9"/>
      <c r="E110" s="18"/>
      <c r="F110" s="9"/>
      <c r="G110" s="9"/>
      <c r="H110" s="9"/>
      <c r="I110" s="18"/>
      <c r="J110" s="18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  <c r="Z110" s="10"/>
      <c r="AA110" s="9"/>
      <c r="AB110" s="9"/>
    </row>
    <row r="111" spans="1:28" ht="12.75" customHeight="1" x14ac:dyDescent="0.3">
      <c r="A111" s="9"/>
      <c r="B111" s="9"/>
      <c r="C111" s="24"/>
      <c r="D111" s="9"/>
      <c r="E111" s="18"/>
      <c r="F111" s="9"/>
      <c r="G111" s="9"/>
      <c r="H111" s="9"/>
      <c r="I111" s="18"/>
      <c r="J111" s="1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  <c r="Z111" s="10"/>
      <c r="AA111" s="9"/>
      <c r="AB111" s="9"/>
    </row>
    <row r="112" spans="1:28" ht="12.75" customHeight="1" x14ac:dyDescent="0.3">
      <c r="A112" s="9"/>
      <c r="B112" s="9"/>
      <c r="C112" s="24"/>
      <c r="D112" s="9"/>
      <c r="E112" s="18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  <c r="Z112" s="10"/>
      <c r="AA112" s="9"/>
      <c r="AB112" s="9"/>
    </row>
    <row r="113" spans="1:28" ht="12.75" customHeight="1" x14ac:dyDescent="0.3">
      <c r="A113" s="9"/>
      <c r="B113" s="9"/>
      <c r="C113" s="24"/>
      <c r="D113" s="9"/>
      <c r="E113" s="18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0"/>
      <c r="Z113" s="10"/>
      <c r="AA113" s="9"/>
      <c r="AB113" s="9"/>
    </row>
    <row r="114" spans="1:28" ht="12.75" customHeight="1" x14ac:dyDescent="0.3">
      <c r="A114" s="9"/>
      <c r="B114" s="9"/>
      <c r="C114" s="24"/>
      <c r="D114" s="9"/>
      <c r="E114" s="18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0"/>
      <c r="Z114" s="10"/>
      <c r="AA114" s="9"/>
      <c r="AB114" s="9"/>
    </row>
    <row r="115" spans="1:28" ht="12.75" customHeight="1" x14ac:dyDescent="0.3">
      <c r="A115" s="9"/>
      <c r="B115" s="9"/>
      <c r="C115" s="24"/>
      <c r="D115" s="9"/>
      <c r="E115" s="18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0"/>
      <c r="Z115" s="10"/>
      <c r="AA115" s="9"/>
      <c r="AB115" s="9"/>
    </row>
    <row r="116" spans="1:28" ht="12.75" customHeight="1" x14ac:dyDescent="0.3">
      <c r="A116" s="9"/>
      <c r="B116" s="9"/>
      <c r="C116" s="24"/>
      <c r="D116" s="9"/>
      <c r="E116" s="18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0"/>
      <c r="Z116" s="10"/>
      <c r="AA116" s="9"/>
      <c r="AB116" s="9"/>
    </row>
    <row r="117" spans="1:28" ht="12.75" customHeight="1" x14ac:dyDescent="0.3">
      <c r="A117" s="9"/>
      <c r="B117" s="9"/>
      <c r="C117" s="24"/>
      <c r="D117" s="9"/>
      <c r="E117" s="18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0"/>
      <c r="Z117" s="10"/>
      <c r="AA117" s="9"/>
      <c r="AB117" s="9"/>
    </row>
    <row r="118" spans="1:28" ht="12.75" customHeight="1" x14ac:dyDescent="0.3">
      <c r="A118" s="9"/>
      <c r="B118" s="9"/>
      <c r="C118" s="24"/>
      <c r="D118" s="9"/>
      <c r="E118" s="18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0"/>
      <c r="Z118" s="10"/>
      <c r="AA118" s="9"/>
      <c r="AB118" s="9"/>
    </row>
    <row r="119" spans="1:28" ht="12.75" customHeight="1" x14ac:dyDescent="0.3">
      <c r="A119" s="9"/>
      <c r="B119" s="9"/>
      <c r="C119" s="24"/>
      <c r="D119" s="9"/>
      <c r="E119" s="18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0"/>
      <c r="Z119" s="10"/>
      <c r="AA119" s="9"/>
      <c r="AB119" s="9"/>
    </row>
    <row r="120" spans="1:28" ht="12.75" customHeight="1" x14ac:dyDescent="0.3">
      <c r="A120" s="9"/>
      <c r="B120" s="9"/>
      <c r="C120" s="24"/>
      <c r="D120" s="9"/>
      <c r="E120" s="18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0"/>
      <c r="Z120" s="10"/>
      <c r="AA120" s="9"/>
      <c r="AB120" s="9"/>
    </row>
    <row r="121" spans="1:28" ht="12.75" customHeight="1" x14ac:dyDescent="0.3">
      <c r="A121" s="9"/>
      <c r="B121" s="9"/>
      <c r="C121" s="24"/>
      <c r="D121" s="9"/>
      <c r="E121" s="18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0"/>
      <c r="Z121" s="10"/>
      <c r="AA121" s="9"/>
      <c r="AB121" s="9"/>
    </row>
    <row r="122" spans="1:28" ht="12.75" customHeight="1" x14ac:dyDescent="0.3">
      <c r="A122" s="9"/>
      <c r="B122" s="9"/>
      <c r="C122" s="24"/>
      <c r="D122" s="9"/>
      <c r="E122" s="18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0"/>
      <c r="Z122" s="10"/>
      <c r="AA122" s="9"/>
      <c r="AB122" s="9"/>
    </row>
    <row r="123" spans="1:28" ht="12.75" customHeight="1" x14ac:dyDescent="0.3">
      <c r="A123" s="9"/>
      <c r="B123" s="9"/>
      <c r="C123" s="24"/>
      <c r="D123" s="9"/>
      <c r="E123" s="18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0"/>
      <c r="Z123" s="10"/>
      <c r="AA123" s="9"/>
      <c r="AB123" s="9"/>
    </row>
    <row r="124" spans="1:28" ht="12.75" customHeight="1" x14ac:dyDescent="0.3">
      <c r="A124" s="9"/>
      <c r="B124" s="9"/>
      <c r="C124" s="24"/>
      <c r="D124" s="9"/>
      <c r="E124" s="18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0"/>
      <c r="Z124" s="10"/>
      <c r="AA124" s="9"/>
      <c r="AB124" s="9"/>
    </row>
    <row r="125" spans="1:28" ht="12.75" customHeight="1" x14ac:dyDescent="0.3">
      <c r="A125" s="9"/>
      <c r="B125" s="9"/>
      <c r="C125" s="24"/>
      <c r="D125" s="9"/>
      <c r="E125" s="18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0"/>
      <c r="Z125" s="10"/>
      <c r="AA125" s="9"/>
      <c r="AB125" s="9"/>
    </row>
    <row r="126" spans="1:28" ht="12.75" customHeight="1" x14ac:dyDescent="0.3">
      <c r="A126" s="9"/>
      <c r="B126" s="9"/>
      <c r="C126" s="24"/>
      <c r="D126" s="9"/>
      <c r="E126" s="1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10"/>
      <c r="Z126" s="10"/>
      <c r="AA126" s="9"/>
      <c r="AB126" s="9"/>
    </row>
    <row r="127" spans="1:28" ht="12.75" customHeight="1" x14ac:dyDescent="0.3">
      <c r="A127" s="9"/>
      <c r="B127" s="9"/>
      <c r="C127" s="24"/>
      <c r="D127" s="9"/>
      <c r="E127" s="1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  <c r="Z127" s="10"/>
      <c r="AA127" s="9"/>
      <c r="AB127" s="9"/>
    </row>
    <row r="128" spans="1:28" ht="12.75" customHeight="1" x14ac:dyDescent="0.3">
      <c r="A128" s="9"/>
      <c r="B128" s="9"/>
      <c r="C128" s="24"/>
      <c r="D128" s="9"/>
      <c r="E128" s="18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10"/>
      <c r="Z128" s="10"/>
      <c r="AA128" s="9"/>
      <c r="AB128" s="9"/>
    </row>
    <row r="129" spans="1:28" ht="12.75" customHeight="1" x14ac:dyDescent="0.3">
      <c r="A129" s="9"/>
      <c r="B129" s="9"/>
      <c r="C129" s="24"/>
      <c r="D129" s="9"/>
      <c r="E129" s="18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10"/>
      <c r="Z129" s="10"/>
      <c r="AA129" s="9"/>
      <c r="AB129" s="9"/>
    </row>
    <row r="130" spans="1:28" ht="12.75" customHeight="1" x14ac:dyDescent="0.3">
      <c r="A130" s="9"/>
      <c r="B130" s="9"/>
      <c r="C130" s="24"/>
      <c r="D130" s="9"/>
      <c r="E130" s="18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10"/>
      <c r="Z130" s="10"/>
      <c r="AA130" s="9"/>
      <c r="AB130" s="9"/>
    </row>
    <row r="131" spans="1:28" ht="12.75" customHeight="1" x14ac:dyDescent="0.3">
      <c r="A131" s="9"/>
      <c r="B131" s="9"/>
      <c r="C131" s="24"/>
      <c r="D131" s="9"/>
      <c r="E131" s="18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10"/>
      <c r="Z131" s="10"/>
      <c r="AA131" s="9"/>
      <c r="AB131" s="9"/>
    </row>
    <row r="132" spans="1:28" ht="12.75" customHeight="1" x14ac:dyDescent="0.3">
      <c r="A132" s="9"/>
      <c r="B132" s="9"/>
      <c r="C132" s="24"/>
      <c r="D132" s="9"/>
      <c r="E132" s="18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10"/>
      <c r="Z132" s="10"/>
      <c r="AA132" s="9"/>
      <c r="AB132" s="9"/>
    </row>
    <row r="133" spans="1:28" ht="12.75" customHeight="1" x14ac:dyDescent="0.3">
      <c r="A133" s="9"/>
      <c r="B133" s="9"/>
      <c r="C133" s="24"/>
      <c r="D133" s="9"/>
      <c r="E133" s="18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0"/>
      <c r="Z133" s="10"/>
      <c r="AA133" s="9"/>
      <c r="AB133" s="9"/>
    </row>
    <row r="134" spans="1:28" ht="12.75" customHeight="1" x14ac:dyDescent="0.3">
      <c r="A134" s="9"/>
      <c r="B134" s="9"/>
      <c r="C134" s="24"/>
      <c r="D134" s="9"/>
      <c r="E134" s="18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10"/>
      <c r="Z134" s="10"/>
      <c r="AA134" s="9"/>
      <c r="AB134" s="9"/>
    </row>
    <row r="135" spans="1:28" ht="12.75" customHeight="1" x14ac:dyDescent="0.3">
      <c r="A135" s="9"/>
      <c r="B135" s="9"/>
      <c r="C135" s="24"/>
      <c r="D135" s="9"/>
      <c r="E135" s="18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10"/>
      <c r="Z135" s="10"/>
      <c r="AA135" s="9"/>
      <c r="AB135" s="9"/>
    </row>
    <row r="136" spans="1:28" ht="12.75" customHeight="1" x14ac:dyDescent="0.3">
      <c r="A136" s="9"/>
      <c r="B136" s="9"/>
      <c r="C136" s="24"/>
      <c r="D136" s="9"/>
      <c r="E136" s="18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10"/>
      <c r="Z136" s="10"/>
      <c r="AA136" s="9"/>
      <c r="AB136" s="9"/>
    </row>
    <row r="137" spans="1:28" ht="12.75" customHeight="1" x14ac:dyDescent="0.3">
      <c r="A137" s="9"/>
      <c r="B137" s="9"/>
      <c r="C137" s="24"/>
      <c r="D137" s="9"/>
      <c r="E137" s="18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0"/>
      <c r="Z137" s="10"/>
      <c r="AA137" s="9"/>
      <c r="AB137" s="9"/>
    </row>
    <row r="138" spans="1:28" ht="12.75" customHeight="1" x14ac:dyDescent="0.3">
      <c r="A138" s="9"/>
      <c r="B138" s="9"/>
      <c r="C138" s="24"/>
      <c r="D138" s="9"/>
      <c r="E138" s="18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10"/>
      <c r="Z138" s="10"/>
      <c r="AA138" s="9"/>
      <c r="AB138" s="9"/>
    </row>
    <row r="139" spans="1:28" ht="12.75" customHeight="1" x14ac:dyDescent="0.3">
      <c r="A139" s="9"/>
      <c r="B139" s="9"/>
      <c r="C139" s="24"/>
      <c r="D139" s="9"/>
      <c r="E139" s="18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10"/>
      <c r="Z139" s="10"/>
      <c r="AA139" s="9"/>
      <c r="AB139" s="9"/>
    </row>
    <row r="140" spans="1:28" ht="12.75" customHeight="1" x14ac:dyDescent="0.3">
      <c r="A140" s="9"/>
      <c r="B140" s="9"/>
      <c r="C140" s="24"/>
      <c r="D140" s="9"/>
      <c r="E140" s="1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0"/>
      <c r="Z140" s="10"/>
      <c r="AA140" s="9"/>
      <c r="AB140" s="9"/>
    </row>
    <row r="141" spans="1:28" ht="12.75" customHeight="1" x14ac:dyDescent="0.3">
      <c r="A141" s="9"/>
      <c r="B141" s="9"/>
      <c r="C141" s="24"/>
      <c r="D141" s="9"/>
      <c r="E141" s="18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0"/>
      <c r="Z141" s="10"/>
      <c r="AA141" s="9"/>
      <c r="AB141" s="9"/>
    </row>
    <row r="142" spans="1:28" ht="12.75" customHeight="1" x14ac:dyDescent="0.3">
      <c r="A142" s="9"/>
      <c r="B142" s="9"/>
      <c r="C142" s="24"/>
      <c r="D142" s="9"/>
      <c r="E142" s="18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0"/>
      <c r="Z142" s="10"/>
      <c r="AA142" s="9"/>
      <c r="AB142" s="9"/>
    </row>
    <row r="143" spans="1:28" ht="12.75" customHeight="1" x14ac:dyDescent="0.3">
      <c r="A143" s="9"/>
      <c r="B143" s="9"/>
      <c r="C143" s="24"/>
      <c r="D143" s="9"/>
      <c r="E143" s="18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0"/>
      <c r="Z143" s="10"/>
      <c r="AA143" s="9"/>
      <c r="AB143" s="9"/>
    </row>
    <row r="144" spans="1:28" ht="12.75" customHeight="1" x14ac:dyDescent="0.3">
      <c r="A144" s="9"/>
      <c r="B144" s="9"/>
      <c r="C144" s="24"/>
      <c r="D144" s="9"/>
      <c r="E144" s="18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10"/>
      <c r="Z144" s="10"/>
      <c r="AA144" s="9"/>
      <c r="AB144" s="9"/>
    </row>
    <row r="145" spans="1:28" ht="12.75" customHeight="1" x14ac:dyDescent="0.3">
      <c r="A145" s="9"/>
      <c r="B145" s="9"/>
      <c r="C145" s="24"/>
      <c r="D145" s="9"/>
      <c r="E145" s="18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0"/>
      <c r="Z145" s="10"/>
      <c r="AA145" s="9"/>
      <c r="AB145" s="9"/>
    </row>
    <row r="146" spans="1:28" ht="12.75" customHeight="1" x14ac:dyDescent="0.3">
      <c r="A146" s="9"/>
      <c r="B146" s="9"/>
      <c r="C146" s="24"/>
      <c r="D146" s="9"/>
      <c r="E146" s="18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10"/>
      <c r="Z146" s="10"/>
      <c r="AA146" s="9"/>
      <c r="AB146" s="9"/>
    </row>
    <row r="147" spans="1:28" ht="12.75" customHeight="1" x14ac:dyDescent="0.3">
      <c r="A147" s="9"/>
      <c r="B147" s="9"/>
      <c r="C147" s="24"/>
      <c r="D147" s="9"/>
      <c r="E147" s="18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10"/>
      <c r="Z147" s="10"/>
      <c r="AA147" s="9"/>
      <c r="AB147" s="9"/>
    </row>
    <row r="148" spans="1:28" ht="12.75" customHeight="1" x14ac:dyDescent="0.3">
      <c r="A148" s="9"/>
      <c r="B148" s="9"/>
      <c r="C148" s="24"/>
      <c r="D148" s="9"/>
      <c r="E148" s="18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10"/>
      <c r="Z148" s="10"/>
      <c r="AA148" s="9"/>
      <c r="AB148" s="9"/>
    </row>
    <row r="149" spans="1:28" ht="12.75" customHeight="1" x14ac:dyDescent="0.3">
      <c r="A149" s="9"/>
      <c r="B149" s="9"/>
      <c r="C149" s="24"/>
      <c r="D149" s="9"/>
      <c r="E149" s="18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10"/>
      <c r="Z149" s="10"/>
      <c r="AA149" s="9"/>
      <c r="AB149" s="9"/>
    </row>
    <row r="150" spans="1:28" ht="12.75" customHeight="1" x14ac:dyDescent="0.3">
      <c r="A150" s="9"/>
      <c r="B150" s="9"/>
      <c r="C150" s="24"/>
      <c r="D150" s="9"/>
      <c r="E150" s="18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10"/>
      <c r="Z150" s="10"/>
      <c r="AA150" s="9"/>
      <c r="AB150" s="9"/>
    </row>
    <row r="151" spans="1:28" ht="12.75" customHeight="1" x14ac:dyDescent="0.3">
      <c r="A151" s="9"/>
      <c r="B151" s="9"/>
      <c r="C151" s="24"/>
      <c r="D151" s="9"/>
      <c r="E151" s="18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10"/>
      <c r="Z151" s="10"/>
      <c r="AA151" s="9"/>
      <c r="AB151" s="9"/>
    </row>
    <row r="152" spans="1:28" ht="12.75" customHeight="1" x14ac:dyDescent="0.3">
      <c r="A152" s="9"/>
      <c r="B152" s="9"/>
      <c r="C152" s="24"/>
      <c r="D152" s="9"/>
      <c r="E152" s="18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10"/>
      <c r="Z152" s="10"/>
      <c r="AA152" s="9"/>
      <c r="AB152" s="9"/>
    </row>
    <row r="153" spans="1:28" ht="12.75" customHeight="1" x14ac:dyDescent="0.3">
      <c r="A153" s="9"/>
      <c r="B153" s="9"/>
      <c r="C153" s="24"/>
      <c r="D153" s="9"/>
      <c r="E153" s="18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10"/>
      <c r="Z153" s="10"/>
      <c r="AA153" s="9"/>
      <c r="AB153" s="9"/>
    </row>
    <row r="154" spans="1:28" ht="12.75" customHeight="1" x14ac:dyDescent="0.3">
      <c r="A154" s="9"/>
      <c r="B154" s="9"/>
      <c r="C154" s="24"/>
      <c r="D154" s="9"/>
      <c r="E154" s="18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10"/>
      <c r="Z154" s="10"/>
      <c r="AA154" s="9"/>
      <c r="AB154" s="9"/>
    </row>
    <row r="155" spans="1:28" ht="12.75" customHeight="1" x14ac:dyDescent="0.3">
      <c r="A155" s="9"/>
      <c r="B155" s="9"/>
      <c r="C155" s="24"/>
      <c r="D155" s="9"/>
      <c r="E155" s="18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10"/>
      <c r="Z155" s="10"/>
      <c r="AA155" s="9"/>
      <c r="AB155" s="9"/>
    </row>
    <row r="156" spans="1:28" ht="12.75" customHeight="1" x14ac:dyDescent="0.3">
      <c r="A156" s="9"/>
      <c r="B156" s="9"/>
      <c r="C156" s="24"/>
      <c r="D156" s="9"/>
      <c r="E156" s="18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10"/>
      <c r="Z156" s="10"/>
      <c r="AA156" s="9"/>
      <c r="AB156" s="9"/>
    </row>
    <row r="157" spans="1:28" ht="12.75" customHeight="1" x14ac:dyDescent="0.3">
      <c r="A157" s="9"/>
      <c r="B157" s="9"/>
      <c r="C157" s="24"/>
      <c r="D157" s="9"/>
      <c r="E157" s="18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10"/>
      <c r="Z157" s="10"/>
      <c r="AA157" s="9"/>
      <c r="AB157" s="9"/>
    </row>
    <row r="158" spans="1:28" ht="12.75" customHeight="1" x14ac:dyDescent="0.3">
      <c r="A158" s="9"/>
      <c r="B158" s="9"/>
      <c r="C158" s="24"/>
      <c r="D158" s="9"/>
      <c r="E158" s="18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10"/>
      <c r="Z158" s="10"/>
      <c r="AA158" s="9"/>
      <c r="AB158" s="9"/>
    </row>
    <row r="159" spans="1:28" ht="12.75" customHeight="1" x14ac:dyDescent="0.3">
      <c r="A159" s="9"/>
      <c r="B159" s="9"/>
      <c r="C159" s="24"/>
      <c r="D159" s="9"/>
      <c r="E159" s="18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10"/>
      <c r="Z159" s="10"/>
      <c r="AA159" s="9"/>
      <c r="AB159" s="9"/>
    </row>
    <row r="160" spans="1:28" ht="12.75" customHeight="1" x14ac:dyDescent="0.3">
      <c r="A160" s="9"/>
      <c r="B160" s="9"/>
      <c r="C160" s="24"/>
      <c r="D160" s="9"/>
      <c r="E160" s="18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10"/>
      <c r="Z160" s="10"/>
      <c r="AA160" s="9"/>
      <c r="AB160" s="9"/>
    </row>
    <row r="161" spans="1:28" ht="12.75" customHeight="1" x14ac:dyDescent="0.3">
      <c r="A161" s="9"/>
      <c r="B161" s="9"/>
      <c r="C161" s="24"/>
      <c r="D161" s="9"/>
      <c r="E161" s="18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0"/>
      <c r="Z161" s="10"/>
      <c r="AA161" s="9"/>
      <c r="AB161" s="9"/>
    </row>
    <row r="162" spans="1:28" ht="12.75" customHeight="1" x14ac:dyDescent="0.3">
      <c r="A162" s="9"/>
      <c r="B162" s="9"/>
      <c r="C162" s="24"/>
      <c r="D162" s="9"/>
      <c r="E162" s="18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0"/>
      <c r="Z162" s="10"/>
      <c r="AA162" s="9"/>
      <c r="AB162" s="9"/>
    </row>
    <row r="163" spans="1:28" ht="12.75" customHeight="1" x14ac:dyDescent="0.3">
      <c r="A163" s="9"/>
      <c r="B163" s="9"/>
      <c r="C163" s="24"/>
      <c r="D163" s="9"/>
      <c r="E163" s="18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0"/>
      <c r="Z163" s="10"/>
      <c r="AA163" s="9"/>
      <c r="AB163" s="9"/>
    </row>
    <row r="164" spans="1:28" ht="12.75" customHeight="1" x14ac:dyDescent="0.3">
      <c r="A164" s="9"/>
      <c r="B164" s="9"/>
      <c r="C164" s="24"/>
      <c r="D164" s="9"/>
      <c r="E164" s="18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0"/>
      <c r="Z164" s="10"/>
      <c r="AA164" s="9"/>
      <c r="AB164" s="9"/>
    </row>
    <row r="165" spans="1:28" ht="12.75" customHeight="1" x14ac:dyDescent="0.3">
      <c r="A165" s="9"/>
      <c r="B165" s="9"/>
      <c r="C165" s="24"/>
      <c r="D165" s="9"/>
      <c r="E165" s="18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0"/>
      <c r="Z165" s="10"/>
      <c r="AA165" s="9"/>
      <c r="AB165" s="9"/>
    </row>
    <row r="166" spans="1:28" ht="12.75" customHeight="1" x14ac:dyDescent="0.3">
      <c r="A166" s="9"/>
      <c r="B166" s="9"/>
      <c r="C166" s="24"/>
      <c r="D166" s="9"/>
      <c r="E166" s="18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0"/>
      <c r="Z166" s="10"/>
      <c r="AA166" s="9"/>
      <c r="AB166" s="9"/>
    </row>
    <row r="167" spans="1:28" ht="12.75" customHeight="1" x14ac:dyDescent="0.3">
      <c r="A167" s="9"/>
      <c r="B167" s="9"/>
      <c r="C167" s="24"/>
      <c r="D167" s="9"/>
      <c r="E167" s="18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0"/>
      <c r="Z167" s="10"/>
      <c r="AA167" s="9"/>
      <c r="AB167" s="9"/>
    </row>
    <row r="168" spans="1:28" ht="12.75" customHeight="1" x14ac:dyDescent="0.3">
      <c r="A168" s="9"/>
      <c r="B168" s="9"/>
      <c r="C168" s="24"/>
      <c r="D168" s="9"/>
      <c r="E168" s="18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10"/>
      <c r="Z168" s="10"/>
      <c r="AA168" s="9"/>
      <c r="AB168" s="9"/>
    </row>
    <row r="169" spans="1:28" ht="12.75" customHeight="1" x14ac:dyDescent="0.3">
      <c r="A169" s="9"/>
      <c r="B169" s="9"/>
      <c r="C169" s="24"/>
      <c r="D169" s="9"/>
      <c r="E169" s="18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10"/>
      <c r="Z169" s="10"/>
      <c r="AA169" s="9"/>
      <c r="AB169" s="9"/>
    </row>
    <row r="170" spans="1:28" ht="12.75" customHeight="1" x14ac:dyDescent="0.3">
      <c r="A170" s="9"/>
      <c r="B170" s="9"/>
      <c r="C170" s="24"/>
      <c r="D170" s="9"/>
      <c r="E170" s="18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0"/>
      <c r="Z170" s="10"/>
      <c r="AA170" s="9"/>
      <c r="AB170" s="9"/>
    </row>
    <row r="171" spans="1:28" ht="12.75" customHeight="1" x14ac:dyDescent="0.3">
      <c r="A171" s="9"/>
      <c r="B171" s="9"/>
      <c r="C171" s="24"/>
      <c r="D171" s="9"/>
      <c r="E171" s="18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10"/>
      <c r="Z171" s="10"/>
      <c r="AA171" s="9"/>
      <c r="AB171" s="9"/>
    </row>
    <row r="172" spans="1:28" ht="12.75" customHeight="1" x14ac:dyDescent="0.3">
      <c r="A172" s="9"/>
      <c r="B172" s="9"/>
      <c r="C172" s="24"/>
      <c r="D172" s="9"/>
      <c r="E172" s="18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10"/>
      <c r="Z172" s="10"/>
      <c r="AA172" s="9"/>
      <c r="AB172" s="9"/>
    </row>
    <row r="173" spans="1:28" ht="12.75" customHeight="1" x14ac:dyDescent="0.3">
      <c r="A173" s="9"/>
      <c r="B173" s="9"/>
      <c r="C173" s="24"/>
      <c r="D173" s="9"/>
      <c r="E173" s="18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10"/>
      <c r="Z173" s="10"/>
      <c r="AA173" s="9"/>
      <c r="AB173" s="9"/>
    </row>
    <row r="174" spans="1:28" ht="12.75" customHeight="1" x14ac:dyDescent="0.3">
      <c r="A174" s="9"/>
      <c r="B174" s="9"/>
      <c r="C174" s="24"/>
      <c r="D174" s="9"/>
      <c r="E174" s="18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10"/>
      <c r="Z174" s="10"/>
      <c r="AA174" s="9"/>
      <c r="AB174" s="9"/>
    </row>
    <row r="175" spans="1:28" ht="12.75" customHeight="1" x14ac:dyDescent="0.3">
      <c r="A175" s="9"/>
      <c r="B175" s="9"/>
      <c r="C175" s="24"/>
      <c r="D175" s="9"/>
      <c r="E175" s="18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10"/>
      <c r="Z175" s="10"/>
      <c r="AA175" s="9"/>
      <c r="AB175" s="9"/>
    </row>
    <row r="176" spans="1:28" ht="12.75" customHeight="1" x14ac:dyDescent="0.3">
      <c r="A176" s="9"/>
      <c r="B176" s="9"/>
      <c r="C176" s="24"/>
      <c r="D176" s="9"/>
      <c r="E176" s="18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10"/>
      <c r="Z176" s="10"/>
      <c r="AA176" s="9"/>
      <c r="AB176" s="9"/>
    </row>
    <row r="177" spans="1:28" ht="12.75" customHeight="1" x14ac:dyDescent="0.3">
      <c r="A177" s="9"/>
      <c r="B177" s="9"/>
      <c r="C177" s="24"/>
      <c r="D177" s="9"/>
      <c r="E177" s="18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10"/>
      <c r="Z177" s="10"/>
      <c r="AA177" s="9"/>
      <c r="AB177" s="9"/>
    </row>
    <row r="178" spans="1:28" ht="12.75" customHeight="1" x14ac:dyDescent="0.3">
      <c r="A178" s="9"/>
      <c r="B178" s="9"/>
      <c r="C178" s="24"/>
      <c r="D178" s="9"/>
      <c r="E178" s="18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10"/>
      <c r="Z178" s="10"/>
      <c r="AA178" s="9"/>
      <c r="AB178" s="9"/>
    </row>
    <row r="179" spans="1:28" ht="12.75" customHeight="1" x14ac:dyDescent="0.3">
      <c r="A179" s="9"/>
      <c r="B179" s="9"/>
      <c r="C179" s="24"/>
      <c r="D179" s="9"/>
      <c r="E179" s="18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10"/>
      <c r="Z179" s="10"/>
      <c r="AA179" s="9"/>
      <c r="AB179" s="9"/>
    </row>
    <row r="180" spans="1:28" ht="12.75" customHeight="1" x14ac:dyDescent="0.3">
      <c r="A180" s="9"/>
      <c r="B180" s="9"/>
      <c r="C180" s="24"/>
      <c r="D180" s="9"/>
      <c r="E180" s="18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10"/>
      <c r="Z180" s="10"/>
      <c r="AA180" s="9"/>
      <c r="AB180" s="9"/>
    </row>
    <row r="181" spans="1:28" ht="12.75" customHeight="1" x14ac:dyDescent="0.3">
      <c r="A181" s="9"/>
      <c r="B181" s="9"/>
      <c r="C181" s="24"/>
      <c r="D181" s="9"/>
      <c r="E181" s="18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10"/>
      <c r="Z181" s="10"/>
      <c r="AA181" s="9"/>
      <c r="AB181" s="9"/>
    </row>
    <row r="182" spans="1:28" ht="12.75" customHeight="1" x14ac:dyDescent="0.3">
      <c r="A182" s="9"/>
      <c r="B182" s="9"/>
      <c r="C182" s="24"/>
      <c r="D182" s="9"/>
      <c r="E182" s="18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10"/>
      <c r="Z182" s="10"/>
      <c r="AA182" s="9"/>
      <c r="AB182" s="9"/>
    </row>
    <row r="183" spans="1:28" ht="12.75" customHeight="1" x14ac:dyDescent="0.3">
      <c r="A183" s="9"/>
      <c r="B183" s="9"/>
      <c r="C183" s="24"/>
      <c r="D183" s="9"/>
      <c r="E183" s="18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10"/>
      <c r="Z183" s="10"/>
      <c r="AA183" s="9"/>
      <c r="AB183" s="9"/>
    </row>
    <row r="184" spans="1:28" ht="12.75" customHeight="1" x14ac:dyDescent="0.3">
      <c r="A184" s="9"/>
      <c r="B184" s="9"/>
      <c r="C184" s="24"/>
      <c r="D184" s="9"/>
      <c r="E184" s="18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0"/>
      <c r="Z184" s="10"/>
      <c r="AA184" s="9"/>
      <c r="AB184" s="9"/>
    </row>
    <row r="185" spans="1:28" ht="12.75" customHeight="1" x14ac:dyDescent="0.3">
      <c r="A185" s="9"/>
      <c r="B185" s="9"/>
      <c r="C185" s="24"/>
      <c r="D185" s="9"/>
      <c r="E185" s="18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0"/>
      <c r="Z185" s="10"/>
      <c r="AA185" s="9"/>
      <c r="AB185" s="9"/>
    </row>
    <row r="186" spans="1:28" ht="12.75" customHeight="1" x14ac:dyDescent="0.3">
      <c r="A186" s="9"/>
      <c r="B186" s="9"/>
      <c r="C186" s="24"/>
      <c r="D186" s="9"/>
      <c r="E186" s="18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10"/>
      <c r="Z186" s="10"/>
      <c r="AA186" s="9"/>
      <c r="AB186" s="9"/>
    </row>
    <row r="187" spans="1:28" ht="12.75" customHeight="1" x14ac:dyDescent="0.3">
      <c r="A187" s="9"/>
      <c r="B187" s="9"/>
      <c r="C187" s="24"/>
      <c r="D187" s="9"/>
      <c r="E187" s="18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10"/>
      <c r="Z187" s="10"/>
      <c r="AA187" s="9"/>
      <c r="AB187" s="9"/>
    </row>
    <row r="188" spans="1:28" ht="12.75" customHeight="1" x14ac:dyDescent="0.3">
      <c r="A188" s="9"/>
      <c r="B188" s="9"/>
      <c r="C188" s="24"/>
      <c r="D188" s="9"/>
      <c r="E188" s="18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10"/>
      <c r="Z188" s="10"/>
      <c r="AA188" s="9"/>
      <c r="AB188" s="9"/>
    </row>
    <row r="189" spans="1:28" ht="12.75" customHeight="1" x14ac:dyDescent="0.3">
      <c r="A189" s="9"/>
      <c r="B189" s="9"/>
      <c r="C189" s="24"/>
      <c r="D189" s="9"/>
      <c r="E189" s="18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10"/>
      <c r="Z189" s="10"/>
      <c r="AA189" s="9"/>
      <c r="AB189" s="9"/>
    </row>
    <row r="190" spans="1:28" ht="12.75" customHeight="1" x14ac:dyDescent="0.3">
      <c r="A190" s="9"/>
      <c r="B190" s="9"/>
      <c r="C190" s="24"/>
      <c r="D190" s="9"/>
      <c r="E190" s="18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10"/>
      <c r="Z190" s="10"/>
      <c r="AA190" s="9"/>
      <c r="AB190" s="9"/>
    </row>
    <row r="191" spans="1:28" ht="12.75" customHeight="1" x14ac:dyDescent="0.3">
      <c r="A191" s="9"/>
      <c r="B191" s="9"/>
      <c r="C191" s="24"/>
      <c r="D191" s="9"/>
      <c r="E191" s="18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10"/>
      <c r="Z191" s="10"/>
      <c r="AA191" s="9"/>
      <c r="AB191" s="9"/>
    </row>
    <row r="192" spans="1:28" ht="12.75" customHeight="1" x14ac:dyDescent="0.3">
      <c r="A192" s="9"/>
      <c r="B192" s="9"/>
      <c r="C192" s="24"/>
      <c r="D192" s="9"/>
      <c r="E192" s="18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10"/>
      <c r="Z192" s="10"/>
      <c r="AA192" s="9"/>
      <c r="AB192" s="9"/>
    </row>
    <row r="193" spans="1:28" ht="12.75" customHeight="1" x14ac:dyDescent="0.3">
      <c r="A193" s="9"/>
      <c r="B193" s="9"/>
      <c r="C193" s="24"/>
      <c r="D193" s="9"/>
      <c r="E193" s="18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10"/>
      <c r="Z193" s="10"/>
      <c r="AA193" s="9"/>
      <c r="AB193" s="9"/>
    </row>
    <row r="194" spans="1:28" ht="12.75" customHeight="1" x14ac:dyDescent="0.3">
      <c r="A194" s="9"/>
      <c r="B194" s="9"/>
      <c r="C194" s="24"/>
      <c r="D194" s="9"/>
      <c r="E194" s="18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10"/>
      <c r="Z194" s="10"/>
      <c r="AA194" s="9"/>
      <c r="AB194" s="9"/>
    </row>
    <row r="195" spans="1:28" ht="12.75" customHeight="1" x14ac:dyDescent="0.3">
      <c r="A195" s="9"/>
      <c r="B195" s="9"/>
      <c r="C195" s="24"/>
      <c r="D195" s="9"/>
      <c r="E195" s="18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10"/>
      <c r="Z195" s="10"/>
      <c r="AA195" s="9"/>
      <c r="AB195" s="9"/>
    </row>
    <row r="196" spans="1:28" ht="12.75" customHeight="1" x14ac:dyDescent="0.3">
      <c r="A196" s="9"/>
      <c r="B196" s="9"/>
      <c r="C196" s="24"/>
      <c r="D196" s="9"/>
      <c r="E196" s="18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10"/>
      <c r="Z196" s="10"/>
      <c r="AA196" s="9"/>
      <c r="AB196" s="9"/>
    </row>
    <row r="197" spans="1:28" ht="12.75" customHeight="1" x14ac:dyDescent="0.3">
      <c r="A197" s="9"/>
      <c r="B197" s="9"/>
      <c r="C197" s="24"/>
      <c r="D197" s="9"/>
      <c r="E197" s="18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10"/>
      <c r="Z197" s="10"/>
      <c r="AA197" s="9"/>
      <c r="AB197" s="9"/>
    </row>
    <row r="198" spans="1:28" ht="12.75" customHeight="1" x14ac:dyDescent="0.3">
      <c r="A198" s="9"/>
      <c r="B198" s="9"/>
      <c r="C198" s="24"/>
      <c r="D198" s="9"/>
      <c r="E198" s="18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10"/>
      <c r="Z198" s="10"/>
      <c r="AA198" s="9"/>
      <c r="AB198" s="9"/>
    </row>
    <row r="199" spans="1:28" ht="12.75" customHeight="1" x14ac:dyDescent="0.3">
      <c r="A199" s="9"/>
      <c r="B199" s="9"/>
      <c r="C199" s="24"/>
      <c r="D199" s="9"/>
      <c r="E199" s="18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0"/>
      <c r="Z199" s="10"/>
      <c r="AA199" s="9"/>
      <c r="AB199" s="9"/>
    </row>
    <row r="200" spans="1:28" ht="12.75" customHeight="1" x14ac:dyDescent="0.3">
      <c r="A200" s="9"/>
      <c r="B200" s="9"/>
      <c r="C200" s="24"/>
      <c r="D200" s="9"/>
      <c r="E200" s="18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10"/>
      <c r="Z200" s="10"/>
      <c r="AA200" s="9"/>
      <c r="AB200" s="9"/>
    </row>
    <row r="201" spans="1:28" ht="12.75" customHeight="1" x14ac:dyDescent="0.3">
      <c r="A201" s="9"/>
      <c r="B201" s="9"/>
      <c r="C201" s="24"/>
      <c r="D201" s="9"/>
      <c r="E201" s="18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0"/>
      <c r="Z201" s="10"/>
      <c r="AA201" s="9"/>
      <c r="AB201" s="9"/>
    </row>
    <row r="202" spans="1:28" ht="12.75" customHeight="1" x14ac:dyDescent="0.3">
      <c r="A202" s="9"/>
      <c r="B202" s="9"/>
      <c r="C202" s="24"/>
      <c r="D202" s="9"/>
      <c r="E202" s="18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10"/>
      <c r="Z202" s="10"/>
      <c r="AA202" s="9"/>
      <c r="AB202" s="9"/>
    </row>
    <row r="203" spans="1:28" ht="12.75" customHeight="1" x14ac:dyDescent="0.3">
      <c r="A203" s="9"/>
      <c r="B203" s="9"/>
      <c r="C203" s="24"/>
      <c r="D203" s="9"/>
      <c r="E203" s="18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10"/>
      <c r="Z203" s="10"/>
      <c r="AA203" s="9"/>
      <c r="AB203" s="9"/>
    </row>
    <row r="204" spans="1:28" ht="12.75" customHeight="1" x14ac:dyDescent="0.3">
      <c r="A204" s="9"/>
      <c r="B204" s="9"/>
      <c r="C204" s="24"/>
      <c r="D204" s="9"/>
      <c r="E204" s="18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10"/>
      <c r="Z204" s="10"/>
      <c r="AA204" s="9"/>
      <c r="AB204" s="9"/>
    </row>
    <row r="205" spans="1:28" ht="12.75" customHeight="1" x14ac:dyDescent="0.3">
      <c r="A205" s="9"/>
      <c r="B205" s="9"/>
      <c r="C205" s="24"/>
      <c r="D205" s="9"/>
      <c r="E205" s="18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10"/>
      <c r="Z205" s="10"/>
      <c r="AA205" s="9"/>
      <c r="AB205" s="9"/>
    </row>
    <row r="206" spans="1:28" ht="12.75" customHeight="1" x14ac:dyDescent="0.3">
      <c r="A206" s="9"/>
      <c r="B206" s="9"/>
      <c r="C206" s="24"/>
      <c r="D206" s="9"/>
      <c r="E206" s="18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0"/>
      <c r="Z206" s="10"/>
      <c r="AA206" s="9"/>
      <c r="AB206" s="9"/>
    </row>
    <row r="207" spans="1:28" ht="12.75" customHeight="1" x14ac:dyDescent="0.3">
      <c r="A207" s="9"/>
      <c r="B207" s="9"/>
      <c r="C207" s="24"/>
      <c r="D207" s="9"/>
      <c r="E207" s="18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10"/>
      <c r="Z207" s="10"/>
      <c r="AA207" s="9"/>
      <c r="AB207" s="9"/>
    </row>
    <row r="208" spans="1:28" ht="12.75" customHeight="1" x14ac:dyDescent="0.3">
      <c r="A208" s="9"/>
      <c r="B208" s="9"/>
      <c r="C208" s="24"/>
      <c r="D208" s="9"/>
      <c r="E208" s="18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10"/>
      <c r="Z208" s="10"/>
      <c r="AA208" s="9"/>
      <c r="AB208" s="9"/>
    </row>
    <row r="209" spans="1:28" ht="12.75" customHeight="1" x14ac:dyDescent="0.3">
      <c r="A209" s="9"/>
      <c r="B209" s="9"/>
      <c r="C209" s="24"/>
      <c r="D209" s="9"/>
      <c r="E209" s="18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10"/>
      <c r="Z209" s="10"/>
      <c r="AA209" s="9"/>
      <c r="AB209" s="9"/>
    </row>
    <row r="210" spans="1:28" ht="12.75" customHeight="1" x14ac:dyDescent="0.3">
      <c r="A210" s="9"/>
      <c r="B210" s="9"/>
      <c r="C210" s="24"/>
      <c r="D210" s="9"/>
      <c r="E210" s="18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10"/>
      <c r="Z210" s="10"/>
      <c r="AA210" s="9"/>
      <c r="AB210" s="9"/>
    </row>
    <row r="211" spans="1:28" ht="12.75" customHeight="1" x14ac:dyDescent="0.3">
      <c r="A211" s="9"/>
      <c r="B211" s="9"/>
      <c r="C211" s="24"/>
      <c r="D211" s="9"/>
      <c r="E211" s="1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10"/>
      <c r="Z211" s="10"/>
      <c r="AA211" s="9"/>
      <c r="AB211" s="9"/>
    </row>
    <row r="212" spans="1:28" ht="12.75" customHeight="1" x14ac:dyDescent="0.3">
      <c r="A212" s="9"/>
      <c r="B212" s="9"/>
      <c r="C212" s="24"/>
      <c r="D212" s="9"/>
      <c r="E212" s="18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10"/>
      <c r="Z212" s="10"/>
      <c r="AA212" s="9"/>
      <c r="AB212" s="9"/>
    </row>
    <row r="213" spans="1:28" ht="12.75" customHeight="1" x14ac:dyDescent="0.3">
      <c r="A213" s="9"/>
      <c r="B213" s="9"/>
      <c r="C213" s="24"/>
      <c r="D213" s="9"/>
      <c r="E213" s="18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10"/>
      <c r="Z213" s="10"/>
      <c r="AA213" s="9"/>
      <c r="AB213" s="9"/>
    </row>
    <row r="214" spans="1:28" ht="12.75" customHeight="1" x14ac:dyDescent="0.3">
      <c r="A214" s="9"/>
      <c r="B214" s="9"/>
      <c r="C214" s="24"/>
      <c r="D214" s="9"/>
      <c r="E214" s="18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10"/>
      <c r="Z214" s="10"/>
      <c r="AA214" s="9"/>
      <c r="AB214" s="9"/>
    </row>
    <row r="215" spans="1:28" ht="12.75" customHeight="1" x14ac:dyDescent="0.3">
      <c r="A215" s="9"/>
      <c r="B215" s="9"/>
      <c r="C215" s="24"/>
      <c r="D215" s="9"/>
      <c r="E215" s="18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10"/>
      <c r="Z215" s="10"/>
      <c r="AA215" s="9"/>
      <c r="AB215" s="9"/>
    </row>
    <row r="216" spans="1:28" ht="12.75" customHeight="1" x14ac:dyDescent="0.3">
      <c r="A216" s="9"/>
      <c r="B216" s="9"/>
      <c r="C216" s="24"/>
      <c r="D216" s="9"/>
      <c r="E216" s="18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10"/>
      <c r="Z216" s="10"/>
      <c r="AA216" s="9"/>
      <c r="AB216" s="9"/>
    </row>
    <row r="217" spans="1:28" ht="12.75" customHeight="1" x14ac:dyDescent="0.3">
      <c r="A217" s="9"/>
      <c r="B217" s="9"/>
      <c r="C217" s="24"/>
      <c r="D217" s="9"/>
      <c r="E217" s="18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10"/>
      <c r="Z217" s="10"/>
      <c r="AA217" s="9"/>
      <c r="AB217" s="9"/>
    </row>
    <row r="218" spans="1:28" ht="12.75" customHeight="1" x14ac:dyDescent="0.3">
      <c r="A218" s="9"/>
      <c r="B218" s="9"/>
      <c r="C218" s="24"/>
      <c r="D218" s="9"/>
      <c r="E218" s="18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10"/>
      <c r="Z218" s="10"/>
      <c r="AA218" s="9"/>
      <c r="AB218" s="9"/>
    </row>
    <row r="219" spans="1:28" ht="12.75" customHeight="1" x14ac:dyDescent="0.3">
      <c r="A219" s="9"/>
      <c r="B219" s="9"/>
      <c r="C219" s="24"/>
      <c r="D219" s="9"/>
      <c r="E219" s="18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10"/>
      <c r="Z219" s="10"/>
      <c r="AA219" s="9"/>
      <c r="AB219" s="9"/>
    </row>
    <row r="220" spans="1:28" ht="12.75" customHeight="1" x14ac:dyDescent="0.3">
      <c r="A220" s="9"/>
      <c r="B220" s="9"/>
      <c r="C220" s="24"/>
      <c r="D220" s="9"/>
      <c r="E220" s="18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10"/>
      <c r="Z220" s="10"/>
      <c r="AA220" s="9"/>
      <c r="AB220" s="9"/>
    </row>
    <row r="221" spans="1:28" ht="12.75" customHeight="1" x14ac:dyDescent="0.3">
      <c r="A221" s="9"/>
      <c r="B221" s="9"/>
      <c r="C221" s="24"/>
      <c r="D221" s="9"/>
      <c r="E221" s="18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10"/>
      <c r="Z221" s="10"/>
      <c r="AA221" s="9"/>
      <c r="AB221" s="9"/>
    </row>
    <row r="222" spans="1:28" ht="12.75" customHeight="1" x14ac:dyDescent="0.3">
      <c r="A222" s="9"/>
      <c r="B222" s="9"/>
      <c r="C222" s="24"/>
      <c r="D222" s="9"/>
      <c r="E222" s="18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10"/>
      <c r="Z222" s="10"/>
      <c r="AA222" s="9"/>
      <c r="AB222" s="9"/>
    </row>
    <row r="223" spans="1:28" ht="12.75" customHeight="1" x14ac:dyDescent="0.3">
      <c r="A223" s="9"/>
      <c r="B223" s="9"/>
      <c r="C223" s="24"/>
      <c r="D223" s="9"/>
      <c r="E223" s="18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10"/>
      <c r="Z223" s="10"/>
      <c r="AA223" s="9"/>
      <c r="AB223" s="9"/>
    </row>
    <row r="224" spans="1:28" ht="12.75" customHeight="1" x14ac:dyDescent="0.3">
      <c r="A224" s="9"/>
      <c r="B224" s="9"/>
      <c r="C224" s="24"/>
      <c r="D224" s="9"/>
      <c r="E224" s="18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10"/>
      <c r="Z224" s="10"/>
      <c r="AA224" s="9"/>
      <c r="AB224" s="9"/>
    </row>
    <row r="225" spans="1:28" ht="12.75" customHeight="1" x14ac:dyDescent="0.3">
      <c r="A225" s="9"/>
      <c r="B225" s="9"/>
      <c r="C225" s="24"/>
      <c r="D225" s="9"/>
      <c r="E225" s="18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10"/>
      <c r="Z225" s="10"/>
      <c r="AA225" s="9"/>
      <c r="AB225" s="9"/>
    </row>
    <row r="226" spans="1:28" ht="12.75" customHeight="1" x14ac:dyDescent="0.3">
      <c r="A226" s="9"/>
      <c r="B226" s="9"/>
      <c r="C226" s="24"/>
      <c r="D226" s="9"/>
      <c r="E226" s="18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10"/>
      <c r="Z226" s="10"/>
      <c r="AA226" s="9"/>
      <c r="AB226" s="9"/>
    </row>
    <row r="227" spans="1:28" ht="12.75" customHeight="1" x14ac:dyDescent="0.3">
      <c r="A227" s="9"/>
      <c r="B227" s="9"/>
      <c r="C227" s="24"/>
      <c r="D227" s="9"/>
      <c r="E227" s="18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10"/>
      <c r="Z227" s="10"/>
      <c r="AA227" s="9"/>
      <c r="AB227" s="9"/>
    </row>
    <row r="228" spans="1:28" ht="12.75" customHeight="1" x14ac:dyDescent="0.3">
      <c r="A228" s="9"/>
      <c r="B228" s="9"/>
      <c r="C228" s="24"/>
      <c r="D228" s="9"/>
      <c r="E228" s="18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10"/>
      <c r="Z228" s="10"/>
      <c r="AA228" s="9"/>
      <c r="AB228" s="9"/>
    </row>
    <row r="229" spans="1:28" ht="12.75" customHeight="1" x14ac:dyDescent="0.3">
      <c r="A229" s="9"/>
      <c r="B229" s="9"/>
      <c r="C229" s="24"/>
      <c r="D229" s="9"/>
      <c r="E229" s="18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10"/>
      <c r="Z229" s="10"/>
      <c r="AA229" s="9"/>
      <c r="AB229" s="9"/>
    </row>
    <row r="230" spans="1:28" ht="12.75" customHeight="1" x14ac:dyDescent="0.3">
      <c r="A230" s="9"/>
      <c r="B230" s="9"/>
      <c r="C230" s="24"/>
      <c r="D230" s="9"/>
      <c r="E230" s="18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10"/>
      <c r="Z230" s="10"/>
      <c r="AA230" s="9"/>
      <c r="AB230" s="9"/>
    </row>
    <row r="231" spans="1:28" ht="12.75" customHeight="1" x14ac:dyDescent="0.3">
      <c r="A231" s="9"/>
      <c r="B231" s="9"/>
      <c r="C231" s="24"/>
      <c r="D231" s="9"/>
      <c r="E231" s="18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10"/>
      <c r="Z231" s="10"/>
      <c r="AA231" s="9"/>
      <c r="AB231" s="9"/>
    </row>
    <row r="232" spans="1:28" ht="12.75" customHeight="1" x14ac:dyDescent="0.3">
      <c r="A232" s="9"/>
      <c r="B232" s="9"/>
      <c r="C232" s="24"/>
      <c r="D232" s="9"/>
      <c r="E232" s="18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10"/>
      <c r="Z232" s="10"/>
      <c r="AA232" s="9"/>
      <c r="AB232" s="9"/>
    </row>
    <row r="233" spans="1:28" ht="12.75" customHeight="1" x14ac:dyDescent="0.3">
      <c r="A233" s="9"/>
      <c r="B233" s="9"/>
      <c r="C233" s="24"/>
      <c r="D233" s="9"/>
      <c r="E233" s="18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10"/>
      <c r="Z233" s="10"/>
      <c r="AA233" s="9"/>
      <c r="AB233" s="9"/>
    </row>
    <row r="234" spans="1:28" ht="12.75" customHeight="1" x14ac:dyDescent="0.3">
      <c r="A234" s="9"/>
      <c r="B234" s="9"/>
      <c r="C234" s="24"/>
      <c r="D234" s="9"/>
      <c r="E234" s="18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10"/>
      <c r="Z234" s="10"/>
      <c r="AA234" s="9"/>
      <c r="AB234" s="9"/>
    </row>
    <row r="235" spans="1:28" ht="12.75" customHeight="1" x14ac:dyDescent="0.3">
      <c r="A235" s="9"/>
      <c r="B235" s="9"/>
      <c r="C235" s="24"/>
      <c r="D235" s="9"/>
      <c r="E235" s="18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10"/>
      <c r="Z235" s="10"/>
      <c r="AA235" s="9"/>
      <c r="AB235" s="9"/>
    </row>
    <row r="236" spans="1:28" ht="12.75" customHeight="1" x14ac:dyDescent="0.3">
      <c r="A236" s="9"/>
      <c r="B236" s="9"/>
      <c r="C236" s="24"/>
      <c r="D236" s="9"/>
      <c r="E236" s="18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10"/>
      <c r="Z236" s="10"/>
      <c r="AA236" s="9"/>
      <c r="AB236" s="9"/>
    </row>
    <row r="237" spans="1:28" ht="12.75" customHeight="1" x14ac:dyDescent="0.3">
      <c r="A237" s="9"/>
      <c r="B237" s="9"/>
      <c r="C237" s="24"/>
      <c r="D237" s="9"/>
      <c r="E237" s="18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10"/>
      <c r="Z237" s="10"/>
      <c r="AA237" s="9"/>
      <c r="AB237" s="9"/>
    </row>
    <row r="238" spans="1:28" ht="12.75" customHeight="1" x14ac:dyDescent="0.3">
      <c r="A238" s="9"/>
      <c r="B238" s="9"/>
      <c r="C238" s="24"/>
      <c r="D238" s="9"/>
      <c r="E238" s="18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10"/>
      <c r="Z238" s="10"/>
      <c r="AA238" s="9"/>
      <c r="AB238" s="9"/>
    </row>
    <row r="239" spans="1:28" ht="12.75" customHeight="1" x14ac:dyDescent="0.3">
      <c r="A239" s="9"/>
      <c r="B239" s="9"/>
      <c r="C239" s="24"/>
      <c r="D239" s="9"/>
      <c r="E239" s="18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10"/>
      <c r="Z239" s="10"/>
      <c r="AA239" s="9"/>
      <c r="AB239" s="9"/>
    </row>
    <row r="240" spans="1:28" ht="12.75" customHeight="1" x14ac:dyDescent="0.3">
      <c r="A240" s="9"/>
      <c r="B240" s="9"/>
      <c r="C240" s="24"/>
      <c r="D240" s="9"/>
      <c r="E240" s="18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10"/>
      <c r="Z240" s="10"/>
      <c r="AA240" s="9"/>
      <c r="AB240" s="9"/>
    </row>
    <row r="241" spans="1:28" ht="12.75" customHeight="1" x14ac:dyDescent="0.3">
      <c r="A241" s="9"/>
      <c r="B241" s="9"/>
      <c r="C241" s="24"/>
      <c r="D241" s="9"/>
      <c r="E241" s="18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10"/>
      <c r="Z241" s="10"/>
      <c r="AA241" s="9"/>
      <c r="AB241" s="9"/>
    </row>
    <row r="242" spans="1:28" ht="12.75" customHeight="1" x14ac:dyDescent="0.3">
      <c r="A242" s="9"/>
      <c r="B242" s="9"/>
      <c r="C242" s="24"/>
      <c r="D242" s="9"/>
      <c r="E242" s="18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10"/>
      <c r="Z242" s="10"/>
      <c r="AA242" s="9"/>
      <c r="AB242" s="9"/>
    </row>
    <row r="243" spans="1:28" ht="12.75" customHeight="1" x14ac:dyDescent="0.3">
      <c r="A243" s="9"/>
      <c r="B243" s="9"/>
      <c r="C243" s="24"/>
      <c r="D243" s="9"/>
      <c r="E243" s="18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10"/>
      <c r="Z243" s="10"/>
      <c r="AA243" s="9"/>
      <c r="AB243" s="9"/>
    </row>
    <row r="244" spans="1:28" ht="12.75" customHeight="1" x14ac:dyDescent="0.3">
      <c r="A244" s="9"/>
      <c r="B244" s="9"/>
      <c r="C244" s="24"/>
      <c r="D244" s="9"/>
      <c r="E244" s="18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10"/>
      <c r="Z244" s="10"/>
      <c r="AA244" s="9"/>
      <c r="AB244" s="9"/>
    </row>
    <row r="245" spans="1:28" ht="12.75" customHeight="1" x14ac:dyDescent="0.3">
      <c r="A245" s="9"/>
      <c r="B245" s="9"/>
      <c r="C245" s="24"/>
      <c r="D245" s="9"/>
      <c r="E245" s="18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10"/>
      <c r="Z245" s="10"/>
      <c r="AA245" s="9"/>
      <c r="AB245" s="9"/>
    </row>
    <row r="246" spans="1:28" ht="12.75" customHeight="1" x14ac:dyDescent="0.3">
      <c r="A246" s="9"/>
      <c r="B246" s="9"/>
      <c r="C246" s="24"/>
      <c r="D246" s="9"/>
      <c r="E246" s="18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10"/>
      <c r="Z246" s="10"/>
      <c r="AA246" s="9"/>
      <c r="AB246" s="9"/>
    </row>
    <row r="247" spans="1:28" ht="12.75" customHeight="1" x14ac:dyDescent="0.3">
      <c r="A247" s="9"/>
      <c r="B247" s="9"/>
      <c r="C247" s="24"/>
      <c r="D247" s="9"/>
      <c r="E247" s="18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10"/>
      <c r="Z247" s="10"/>
      <c r="AA247" s="9"/>
      <c r="AB247" s="9"/>
    </row>
    <row r="248" spans="1:28" ht="12.75" customHeight="1" x14ac:dyDescent="0.3">
      <c r="A248" s="9"/>
      <c r="B248" s="9"/>
      <c r="C248" s="24"/>
      <c r="D248" s="9"/>
      <c r="E248" s="18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10"/>
      <c r="Z248" s="10"/>
      <c r="AA248" s="9"/>
      <c r="AB248" s="9"/>
    </row>
    <row r="249" spans="1:28" ht="12.75" customHeight="1" x14ac:dyDescent="0.3">
      <c r="A249" s="9"/>
      <c r="B249" s="9"/>
      <c r="C249" s="24"/>
      <c r="D249" s="9"/>
      <c r="E249" s="18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10"/>
      <c r="Z249" s="10"/>
      <c r="AA249" s="9"/>
      <c r="AB249" s="9"/>
    </row>
    <row r="250" spans="1:28" ht="12.75" customHeight="1" x14ac:dyDescent="0.3">
      <c r="A250" s="9"/>
      <c r="B250" s="9"/>
      <c r="C250" s="24"/>
      <c r="D250" s="9"/>
      <c r="E250" s="18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10"/>
      <c r="Z250" s="10"/>
      <c r="AA250" s="9"/>
      <c r="AB250" s="9"/>
    </row>
    <row r="251" spans="1:28" ht="12.75" customHeight="1" x14ac:dyDescent="0.3">
      <c r="A251" s="9"/>
      <c r="B251" s="9"/>
      <c r="C251" s="24"/>
      <c r="D251" s="9"/>
      <c r="E251" s="18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10"/>
      <c r="Z251" s="10"/>
      <c r="AA251" s="9"/>
      <c r="AB251" s="9"/>
    </row>
    <row r="252" spans="1:28" ht="12.75" customHeight="1" x14ac:dyDescent="0.3">
      <c r="A252" s="9"/>
      <c r="B252" s="9"/>
      <c r="C252" s="24"/>
      <c r="D252" s="9"/>
      <c r="E252" s="18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10"/>
      <c r="Z252" s="10"/>
      <c r="AA252" s="9"/>
      <c r="AB252" s="9"/>
    </row>
    <row r="253" spans="1:28" ht="12.75" customHeight="1" x14ac:dyDescent="0.3">
      <c r="A253" s="9"/>
      <c r="B253" s="9"/>
      <c r="C253" s="24"/>
      <c r="D253" s="9"/>
      <c r="E253" s="18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10"/>
      <c r="Z253" s="10"/>
      <c r="AA253" s="9"/>
      <c r="AB253" s="9"/>
    </row>
    <row r="254" spans="1:28" ht="12.75" customHeight="1" x14ac:dyDescent="0.3">
      <c r="A254" s="9"/>
      <c r="B254" s="9"/>
      <c r="C254" s="24"/>
      <c r="D254" s="9"/>
      <c r="E254" s="18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10"/>
      <c r="Z254" s="10"/>
      <c r="AA254" s="9"/>
      <c r="AB254" s="9"/>
    </row>
    <row r="255" spans="1:28" ht="12.75" customHeight="1" x14ac:dyDescent="0.3">
      <c r="A255" s="9"/>
      <c r="B255" s="9"/>
      <c r="C255" s="24"/>
      <c r="D255" s="9"/>
      <c r="E255" s="18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10"/>
      <c r="Z255" s="10"/>
      <c r="AA255" s="9"/>
      <c r="AB255" s="9"/>
    </row>
    <row r="256" spans="1:28" ht="12.75" customHeight="1" x14ac:dyDescent="0.3">
      <c r="A256" s="9"/>
      <c r="B256" s="9"/>
      <c r="C256" s="24"/>
      <c r="D256" s="9"/>
      <c r="E256" s="18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10"/>
      <c r="Z256" s="10"/>
      <c r="AA256" s="9"/>
      <c r="AB256" s="9"/>
    </row>
    <row r="257" spans="1:28" ht="12.75" customHeight="1" x14ac:dyDescent="0.3">
      <c r="A257" s="9"/>
      <c r="B257" s="9"/>
      <c r="C257" s="24"/>
      <c r="D257" s="9"/>
      <c r="E257" s="18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10"/>
      <c r="Z257" s="10"/>
      <c r="AA257" s="9"/>
      <c r="AB257" s="9"/>
    </row>
    <row r="258" spans="1:28" ht="12.75" customHeight="1" x14ac:dyDescent="0.3">
      <c r="A258" s="9"/>
      <c r="B258" s="9"/>
      <c r="C258" s="24"/>
      <c r="D258" s="9"/>
      <c r="E258" s="18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10"/>
      <c r="Z258" s="10"/>
      <c r="AA258" s="9"/>
      <c r="AB258" s="9"/>
    </row>
    <row r="259" spans="1:28" ht="12.75" customHeight="1" x14ac:dyDescent="0.3">
      <c r="A259" s="9"/>
      <c r="B259" s="9"/>
      <c r="C259" s="24"/>
      <c r="D259" s="9"/>
      <c r="E259" s="18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10"/>
      <c r="Z259" s="10"/>
      <c r="AA259" s="9"/>
      <c r="AB259" s="9"/>
    </row>
    <row r="260" spans="1:28" ht="12.75" customHeight="1" x14ac:dyDescent="0.3">
      <c r="A260" s="9"/>
      <c r="B260" s="9"/>
      <c r="C260" s="24"/>
      <c r="D260" s="9"/>
      <c r="E260" s="18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10"/>
      <c r="Z260" s="10"/>
      <c r="AA260" s="9"/>
      <c r="AB260" s="9"/>
    </row>
    <row r="261" spans="1:28" ht="12.75" customHeight="1" x14ac:dyDescent="0.3">
      <c r="A261" s="9"/>
      <c r="B261" s="9"/>
      <c r="C261" s="24"/>
      <c r="D261" s="9"/>
      <c r="E261" s="18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10"/>
      <c r="Z261" s="10"/>
      <c r="AA261" s="9"/>
      <c r="AB261" s="9"/>
    </row>
    <row r="262" spans="1:28" ht="12.75" customHeight="1" x14ac:dyDescent="0.3">
      <c r="A262" s="10"/>
      <c r="B262" s="9"/>
      <c r="C262" s="24"/>
      <c r="D262" s="9"/>
      <c r="E262" s="18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10"/>
      <c r="Z262" s="10"/>
      <c r="AA262" s="9"/>
      <c r="AB262" s="9"/>
    </row>
    <row r="263" spans="1:28" ht="12.75" customHeight="1" x14ac:dyDescent="0.3">
      <c r="A263" s="10"/>
      <c r="B263" s="9"/>
      <c r="C263" s="24"/>
      <c r="D263" s="9"/>
      <c r="E263" s="18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10"/>
      <c r="Z263" s="10"/>
      <c r="AA263" s="9"/>
      <c r="AB263" s="9"/>
    </row>
    <row r="264" spans="1:28" ht="12.75" customHeight="1" x14ac:dyDescent="0.3">
      <c r="A264" s="10"/>
      <c r="B264" s="9"/>
      <c r="C264" s="24"/>
      <c r="D264" s="9"/>
      <c r="E264" s="18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10"/>
      <c r="Z264" s="10"/>
      <c r="AA264" s="9"/>
      <c r="AB264" s="9"/>
    </row>
    <row r="265" spans="1:28" ht="12.75" customHeight="1" x14ac:dyDescent="0.3">
      <c r="A265" s="10"/>
      <c r="B265" s="9"/>
      <c r="C265" s="24"/>
      <c r="D265" s="9"/>
      <c r="E265" s="18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10"/>
      <c r="Z265" s="10"/>
      <c r="AA265" s="9"/>
      <c r="AB265" s="9"/>
    </row>
    <row r="266" spans="1:28" ht="12.75" customHeight="1" x14ac:dyDescent="0.3">
      <c r="A266" s="10"/>
      <c r="B266" s="9"/>
      <c r="C266" s="24"/>
      <c r="D266" s="9"/>
      <c r="E266" s="18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10"/>
      <c r="Z266" s="10"/>
      <c r="AA266" s="9"/>
      <c r="AB266" s="9"/>
    </row>
    <row r="267" spans="1:28" ht="12.75" customHeight="1" x14ac:dyDescent="0.3">
      <c r="A267" s="10"/>
      <c r="B267" s="9"/>
      <c r="C267" s="24"/>
      <c r="D267" s="9"/>
      <c r="E267" s="18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10"/>
      <c r="Z267" s="10"/>
      <c r="AA267" s="9"/>
      <c r="AB267" s="9"/>
    </row>
    <row r="268" spans="1:28" ht="12.75" customHeight="1" x14ac:dyDescent="0.3">
      <c r="A268" s="10"/>
      <c r="B268" s="9"/>
      <c r="C268" s="24"/>
      <c r="D268" s="9"/>
      <c r="E268" s="18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10"/>
      <c r="Z268" s="10"/>
      <c r="AA268" s="9"/>
      <c r="AB268" s="9"/>
    </row>
    <row r="269" spans="1:28" ht="12.75" customHeight="1" x14ac:dyDescent="0.3">
      <c r="A269" s="10"/>
      <c r="B269" s="9"/>
      <c r="C269" s="24"/>
      <c r="D269" s="9"/>
      <c r="E269" s="18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10"/>
      <c r="Z269" s="10"/>
      <c r="AA269" s="9"/>
      <c r="AB269" s="9"/>
    </row>
    <row r="270" spans="1:28" ht="12.75" customHeight="1" x14ac:dyDescent="0.3">
      <c r="A270" s="10"/>
      <c r="B270" s="9"/>
      <c r="C270" s="24"/>
      <c r="D270" s="9"/>
      <c r="E270" s="18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10"/>
      <c r="Z270" s="10"/>
      <c r="AA270" s="9"/>
      <c r="AB270" s="9"/>
    </row>
    <row r="271" spans="1:28" ht="12.75" customHeight="1" x14ac:dyDescent="0.3">
      <c r="A271" s="10"/>
      <c r="B271" s="9"/>
      <c r="C271" s="24"/>
      <c r="D271" s="9"/>
      <c r="E271" s="18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10"/>
      <c r="Z271" s="10"/>
      <c r="AA271" s="9"/>
      <c r="AB271" s="9"/>
    </row>
    <row r="272" spans="1:28" ht="12.75" customHeight="1" x14ac:dyDescent="0.3">
      <c r="A272" s="10"/>
      <c r="B272" s="9"/>
      <c r="C272" s="24"/>
      <c r="D272" s="9"/>
      <c r="E272" s="18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10"/>
      <c r="Z272" s="10"/>
      <c r="AA272" s="9"/>
      <c r="AB272" s="9"/>
    </row>
    <row r="273" spans="1:28" ht="12.75" customHeight="1" x14ac:dyDescent="0.3">
      <c r="A273" s="10"/>
      <c r="B273" s="9"/>
      <c r="C273" s="24"/>
      <c r="D273" s="9"/>
      <c r="E273" s="18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10"/>
      <c r="Z273" s="10"/>
      <c r="AA273" s="9"/>
      <c r="AB273" s="9"/>
    </row>
    <row r="274" spans="1:28" ht="12.75" customHeight="1" x14ac:dyDescent="0.3">
      <c r="A274" s="10"/>
      <c r="B274" s="9"/>
      <c r="C274" s="24"/>
      <c r="D274" s="9"/>
      <c r="E274" s="18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10"/>
      <c r="Z274" s="10"/>
      <c r="AA274" s="9"/>
      <c r="AB274" s="9"/>
    </row>
    <row r="275" spans="1:28" ht="12.75" customHeight="1" x14ac:dyDescent="0.3">
      <c r="A275" s="10"/>
      <c r="B275" s="9"/>
      <c r="C275" s="24"/>
      <c r="D275" s="9"/>
      <c r="E275" s="18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10"/>
      <c r="Z275" s="10"/>
      <c r="AA275" s="9"/>
      <c r="AB275" s="9"/>
    </row>
    <row r="276" spans="1:28" ht="12.75" customHeight="1" x14ac:dyDescent="0.3">
      <c r="A276" s="10"/>
      <c r="B276" s="9"/>
      <c r="C276" s="24"/>
      <c r="D276" s="9"/>
      <c r="E276" s="18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10"/>
      <c r="Z276" s="10"/>
      <c r="AA276" s="9"/>
      <c r="AB276" s="9"/>
    </row>
    <row r="277" spans="1:28" ht="12.75" customHeight="1" x14ac:dyDescent="0.3">
      <c r="A277" s="10"/>
      <c r="B277" s="9"/>
      <c r="C277" s="24"/>
      <c r="D277" s="9"/>
      <c r="E277" s="18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10"/>
      <c r="Z277" s="10"/>
      <c r="AA277" s="9"/>
      <c r="AB277" s="9"/>
    </row>
    <row r="278" spans="1:28" ht="12.75" customHeight="1" x14ac:dyDescent="0.3">
      <c r="A278" s="10"/>
      <c r="B278" s="9"/>
      <c r="C278" s="24"/>
      <c r="D278" s="9"/>
      <c r="E278" s="18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10"/>
      <c r="Z278" s="10"/>
      <c r="AA278" s="9"/>
      <c r="AB278" s="9"/>
    </row>
    <row r="279" spans="1:28" ht="12.75" customHeight="1" x14ac:dyDescent="0.3">
      <c r="A279" s="10"/>
      <c r="B279" s="9"/>
      <c r="C279" s="24"/>
      <c r="D279" s="9"/>
      <c r="E279" s="18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10"/>
      <c r="Z279" s="10"/>
      <c r="AA279" s="9"/>
      <c r="AB279" s="9"/>
    </row>
    <row r="280" spans="1:28" ht="12.75" customHeight="1" x14ac:dyDescent="0.3">
      <c r="A280" s="10"/>
      <c r="B280" s="9"/>
      <c r="C280" s="24"/>
      <c r="D280" s="9"/>
      <c r="E280" s="18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10"/>
      <c r="Z280" s="10"/>
      <c r="AA280" s="9"/>
      <c r="AB280" s="9"/>
    </row>
    <row r="281" spans="1:28" ht="12.75" customHeight="1" x14ac:dyDescent="0.3">
      <c r="A281" s="10"/>
      <c r="B281" s="9"/>
      <c r="C281" s="24"/>
      <c r="D281" s="9"/>
      <c r="E281" s="18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10"/>
      <c r="Z281" s="10"/>
      <c r="AA281" s="9"/>
      <c r="AB281" s="9"/>
    </row>
    <row r="282" spans="1:28" ht="12.75" customHeight="1" x14ac:dyDescent="0.3">
      <c r="A282" s="10"/>
      <c r="B282" s="9"/>
      <c r="C282" s="24"/>
      <c r="D282" s="9"/>
      <c r="E282" s="18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10"/>
      <c r="Z282" s="10"/>
      <c r="AA282" s="9"/>
      <c r="AB282" s="9"/>
    </row>
    <row r="283" spans="1:28" ht="12.75" customHeight="1" x14ac:dyDescent="0.3">
      <c r="A283" s="10"/>
      <c r="B283" s="9"/>
      <c r="C283" s="24"/>
      <c r="D283" s="9"/>
      <c r="E283" s="18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10"/>
      <c r="Z283" s="10"/>
      <c r="AA283" s="9"/>
      <c r="AB283" s="9"/>
    </row>
    <row r="284" spans="1:28" ht="12.75" customHeight="1" x14ac:dyDescent="0.3">
      <c r="A284" s="10"/>
      <c r="B284" s="9"/>
      <c r="C284" s="24"/>
      <c r="D284" s="9"/>
      <c r="E284" s="18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10"/>
      <c r="Z284" s="10"/>
      <c r="AA284" s="9"/>
      <c r="AB284" s="9"/>
    </row>
    <row r="285" spans="1:28" ht="12.75" customHeight="1" x14ac:dyDescent="0.3">
      <c r="A285" s="10"/>
      <c r="B285" s="9"/>
      <c r="C285" s="24"/>
      <c r="D285" s="9"/>
      <c r="E285" s="18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10"/>
      <c r="Z285" s="10"/>
      <c r="AA285" s="9"/>
      <c r="AB285" s="9"/>
    </row>
    <row r="286" spans="1:28" ht="12.75" customHeight="1" x14ac:dyDescent="0.3">
      <c r="A286" s="10"/>
      <c r="B286" s="9"/>
      <c r="C286" s="24"/>
      <c r="D286" s="9"/>
      <c r="E286" s="18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10"/>
      <c r="Z286" s="10"/>
      <c r="AA286" s="9"/>
      <c r="AB286" s="9"/>
    </row>
    <row r="287" spans="1:28" ht="12.75" customHeight="1" x14ac:dyDescent="0.3">
      <c r="A287" s="10"/>
      <c r="B287" s="9"/>
      <c r="C287" s="24"/>
      <c r="D287" s="9"/>
      <c r="E287" s="18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10"/>
      <c r="Z287" s="10"/>
      <c r="AA287" s="9"/>
      <c r="AB287" s="9"/>
    </row>
    <row r="288" spans="1:28" ht="12.75" customHeight="1" x14ac:dyDescent="0.3">
      <c r="A288" s="10"/>
      <c r="B288" s="9"/>
      <c r="C288" s="24"/>
      <c r="D288" s="9"/>
      <c r="E288" s="18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10"/>
      <c r="Z288" s="10"/>
      <c r="AA288" s="9"/>
      <c r="AB288" s="9"/>
    </row>
    <row r="289" spans="1:28" ht="12.75" customHeight="1" x14ac:dyDescent="0.3">
      <c r="A289" s="10"/>
      <c r="B289" s="9"/>
      <c r="C289" s="24"/>
      <c r="D289" s="9"/>
      <c r="E289" s="18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10"/>
      <c r="Z289" s="10"/>
      <c r="AA289" s="9"/>
      <c r="AB289" s="9"/>
    </row>
    <row r="290" spans="1:28" ht="12.75" customHeight="1" x14ac:dyDescent="0.3">
      <c r="A290" s="10"/>
      <c r="B290" s="9"/>
      <c r="C290" s="24"/>
      <c r="D290" s="9"/>
      <c r="E290" s="18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10"/>
      <c r="Z290" s="10"/>
      <c r="AA290" s="9"/>
      <c r="AB290" s="9"/>
    </row>
    <row r="291" spans="1:28" ht="12.75" customHeight="1" x14ac:dyDescent="0.3">
      <c r="A291" s="10"/>
      <c r="B291" s="9"/>
      <c r="C291" s="24"/>
      <c r="D291" s="9"/>
      <c r="E291" s="18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10"/>
      <c r="Z291" s="10"/>
      <c r="AA291" s="9"/>
      <c r="AB291" s="9"/>
    </row>
    <row r="292" spans="1:28" ht="12.75" customHeight="1" x14ac:dyDescent="0.3">
      <c r="A292" s="10"/>
      <c r="B292" s="9"/>
      <c r="C292" s="24"/>
      <c r="D292" s="9"/>
      <c r="E292" s="18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10"/>
      <c r="Z292" s="10"/>
      <c r="AA292" s="9"/>
      <c r="AB292" s="9"/>
    </row>
    <row r="293" spans="1:28" ht="12.75" customHeight="1" x14ac:dyDescent="0.3">
      <c r="A293" s="10"/>
      <c r="B293" s="9"/>
      <c r="C293" s="24"/>
      <c r="D293" s="9"/>
      <c r="E293" s="18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10"/>
      <c r="Z293" s="10"/>
      <c r="AA293" s="9"/>
      <c r="AB293" s="9"/>
    </row>
    <row r="294" spans="1:28" ht="12.75" customHeight="1" x14ac:dyDescent="0.3">
      <c r="A294" s="10"/>
      <c r="B294" s="9"/>
      <c r="C294" s="24"/>
      <c r="D294" s="9"/>
      <c r="E294" s="18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10"/>
      <c r="Z294" s="10"/>
      <c r="AA294" s="9"/>
      <c r="AB294" s="9"/>
    </row>
    <row r="295" spans="1:28" ht="12.75" customHeight="1" x14ac:dyDescent="0.3">
      <c r="A295" s="10"/>
      <c r="B295" s="9"/>
      <c r="C295" s="24"/>
      <c r="D295" s="9"/>
      <c r="E295" s="18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10"/>
      <c r="Z295" s="10"/>
      <c r="AA295" s="9"/>
      <c r="AB295" s="9"/>
    </row>
    <row r="296" spans="1:28" ht="12.75" customHeight="1" x14ac:dyDescent="0.3">
      <c r="A296" s="10"/>
      <c r="B296" s="9"/>
      <c r="C296" s="24"/>
      <c r="D296" s="9"/>
      <c r="E296" s="18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10"/>
      <c r="Z296" s="10"/>
      <c r="AA296" s="9"/>
      <c r="AB296" s="9"/>
    </row>
    <row r="297" spans="1:28" ht="12.75" customHeight="1" x14ac:dyDescent="0.3">
      <c r="A297" s="10"/>
      <c r="B297" s="9"/>
      <c r="C297" s="24"/>
      <c r="D297" s="9"/>
      <c r="E297" s="18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10"/>
      <c r="Z297" s="10"/>
      <c r="AA297" s="9"/>
      <c r="AB297" s="9"/>
    </row>
    <row r="298" spans="1:28" ht="12.75" customHeight="1" x14ac:dyDescent="0.3">
      <c r="A298" s="10"/>
      <c r="B298" s="9"/>
      <c r="C298" s="24"/>
      <c r="D298" s="9"/>
      <c r="E298" s="18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10"/>
      <c r="Z298" s="10"/>
      <c r="AA298" s="9"/>
      <c r="AB298" s="9"/>
    </row>
    <row r="299" spans="1:28" ht="12.75" customHeight="1" x14ac:dyDescent="0.3">
      <c r="A299" s="10"/>
      <c r="B299" s="9"/>
      <c r="C299" s="24"/>
      <c r="D299" s="9"/>
      <c r="E299" s="18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10"/>
      <c r="Z299" s="10"/>
      <c r="AA299" s="9"/>
      <c r="AB299" s="9"/>
    </row>
    <row r="300" spans="1:28" ht="12.75" customHeight="1" x14ac:dyDescent="0.3">
      <c r="A300" s="10"/>
      <c r="B300" s="9"/>
      <c r="C300" s="24"/>
      <c r="D300" s="9"/>
      <c r="E300" s="18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10"/>
      <c r="Z300" s="10"/>
      <c r="AA300" s="9"/>
      <c r="AB300" s="9"/>
    </row>
    <row r="301" spans="1:28" ht="12.75" customHeight="1" x14ac:dyDescent="0.3">
      <c r="A301" s="10"/>
      <c r="B301" s="9"/>
      <c r="C301" s="24"/>
      <c r="D301" s="9"/>
      <c r="E301" s="18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10"/>
      <c r="Z301" s="10"/>
      <c r="AA301" s="9"/>
      <c r="AB301" s="9"/>
    </row>
    <row r="302" spans="1:28" ht="12.75" customHeight="1" x14ac:dyDescent="0.3">
      <c r="A302" s="10"/>
      <c r="B302" s="9"/>
      <c r="C302" s="24"/>
      <c r="D302" s="9"/>
      <c r="E302" s="18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10"/>
      <c r="Z302" s="10"/>
      <c r="AA302" s="9"/>
      <c r="AB302" s="9"/>
    </row>
    <row r="303" spans="1:28" ht="12.75" customHeight="1" x14ac:dyDescent="0.3">
      <c r="A303" s="10"/>
      <c r="B303" s="9"/>
      <c r="C303" s="24"/>
      <c r="D303" s="9"/>
      <c r="E303" s="18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10"/>
      <c r="Z303" s="10"/>
      <c r="AA303" s="9"/>
      <c r="AB303" s="9"/>
    </row>
    <row r="304" spans="1:28" ht="12.75" customHeight="1" x14ac:dyDescent="0.3">
      <c r="A304" s="10"/>
      <c r="B304" s="9"/>
      <c r="C304" s="24"/>
      <c r="D304" s="9"/>
      <c r="E304" s="18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10"/>
      <c r="Z304" s="10"/>
      <c r="AA304" s="9"/>
      <c r="AB304" s="9"/>
    </row>
    <row r="305" spans="1:28" ht="12.75" customHeight="1" x14ac:dyDescent="0.3">
      <c r="A305" s="10"/>
      <c r="B305" s="9"/>
      <c r="C305" s="24"/>
      <c r="D305" s="9"/>
      <c r="E305" s="18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10"/>
      <c r="Z305" s="10"/>
      <c r="AA305" s="9"/>
      <c r="AB305" s="9"/>
    </row>
    <row r="306" spans="1:28" ht="12.75" customHeight="1" x14ac:dyDescent="0.3">
      <c r="A306" s="10"/>
      <c r="B306" s="9"/>
      <c r="C306" s="24"/>
      <c r="D306" s="9"/>
      <c r="E306" s="18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10"/>
      <c r="Z306" s="10"/>
      <c r="AA306" s="9"/>
      <c r="AB306" s="9"/>
    </row>
    <row r="307" spans="1:28" ht="12.75" customHeight="1" x14ac:dyDescent="0.3">
      <c r="A307" s="10"/>
      <c r="B307" s="9"/>
      <c r="C307" s="24"/>
      <c r="D307" s="9"/>
      <c r="E307" s="18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10"/>
      <c r="Z307" s="10"/>
      <c r="AA307" s="9"/>
      <c r="AB307" s="9"/>
    </row>
    <row r="308" spans="1:28" ht="12.75" customHeight="1" x14ac:dyDescent="0.3">
      <c r="A308" s="10"/>
      <c r="B308" s="9"/>
      <c r="C308" s="24"/>
      <c r="D308" s="9"/>
      <c r="E308" s="18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10"/>
      <c r="Z308" s="10"/>
      <c r="AA308" s="9"/>
      <c r="AB308" s="9"/>
    </row>
    <row r="309" spans="1:28" ht="12.75" customHeight="1" x14ac:dyDescent="0.3">
      <c r="A309" s="10"/>
      <c r="B309" s="9"/>
      <c r="C309" s="24"/>
      <c r="D309" s="9"/>
      <c r="E309" s="18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10"/>
      <c r="Z309" s="10"/>
      <c r="AA309" s="9"/>
      <c r="AB309" s="9"/>
    </row>
    <row r="310" spans="1:28" ht="12.75" customHeight="1" x14ac:dyDescent="0.3">
      <c r="A310" s="9"/>
      <c r="B310" s="9"/>
      <c r="C310" s="24"/>
      <c r="D310" s="9"/>
      <c r="E310" s="18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2.75" customHeight="1" x14ac:dyDescent="0.3">
      <c r="A311" s="9"/>
      <c r="B311" s="9"/>
      <c r="C311" s="24"/>
      <c r="D311" s="9"/>
      <c r="E311" s="18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2.75" customHeight="1" x14ac:dyDescent="0.3">
      <c r="A312" s="9"/>
      <c r="B312" s="9"/>
      <c r="C312" s="24"/>
      <c r="D312" s="9"/>
      <c r="E312" s="18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2.75" customHeight="1" x14ac:dyDescent="0.3">
      <c r="A313" s="9"/>
      <c r="B313" s="9"/>
      <c r="C313" s="24"/>
      <c r="D313" s="9"/>
      <c r="E313" s="18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2.75" customHeight="1" x14ac:dyDescent="0.3">
      <c r="A314" s="9"/>
      <c r="B314" s="9"/>
      <c r="C314" s="24"/>
      <c r="D314" s="9"/>
      <c r="E314" s="18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2.75" customHeight="1" x14ac:dyDescent="0.3">
      <c r="A315" s="9"/>
      <c r="B315" s="9"/>
      <c r="C315" s="24"/>
      <c r="D315" s="9"/>
      <c r="E315" s="18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2.75" customHeight="1" x14ac:dyDescent="0.3">
      <c r="A316" s="9"/>
      <c r="B316" s="9"/>
      <c r="C316" s="24"/>
      <c r="D316" s="9"/>
      <c r="E316" s="18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2.75" customHeight="1" x14ac:dyDescent="0.3">
      <c r="A317" s="9"/>
      <c r="B317" s="9"/>
      <c r="C317" s="24"/>
      <c r="D317" s="9"/>
      <c r="E317" s="18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2.75" customHeight="1" x14ac:dyDescent="0.3">
      <c r="A318" s="9"/>
      <c r="B318" s="9"/>
      <c r="C318" s="24"/>
      <c r="D318" s="9"/>
      <c r="E318" s="18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2.75" customHeight="1" x14ac:dyDescent="0.3">
      <c r="A319" s="9"/>
      <c r="B319" s="9"/>
      <c r="C319" s="24"/>
      <c r="D319" s="9"/>
      <c r="E319" s="18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2.75" customHeight="1" x14ac:dyDescent="0.3">
      <c r="A320" s="9"/>
      <c r="B320" s="9"/>
      <c r="C320" s="24"/>
      <c r="D320" s="9"/>
      <c r="E320" s="18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2.75" customHeight="1" x14ac:dyDescent="0.3">
      <c r="A321" s="9"/>
      <c r="B321" s="9"/>
      <c r="C321" s="24"/>
      <c r="D321" s="9"/>
      <c r="E321" s="18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2.75" customHeight="1" x14ac:dyDescent="0.3">
      <c r="A322" s="9"/>
      <c r="B322" s="9"/>
      <c r="C322" s="24"/>
      <c r="D322" s="9"/>
      <c r="E322" s="18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2.75" customHeight="1" x14ac:dyDescent="0.3">
      <c r="A323" s="9"/>
      <c r="B323" s="9"/>
      <c r="C323" s="24"/>
      <c r="D323" s="9"/>
      <c r="E323" s="18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2.75" customHeight="1" x14ac:dyDescent="0.3">
      <c r="A324" s="9"/>
      <c r="B324" s="9"/>
      <c r="C324" s="24"/>
      <c r="D324" s="9"/>
      <c r="E324" s="18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2.75" customHeight="1" x14ac:dyDescent="0.3">
      <c r="A325" s="9"/>
      <c r="B325" s="9"/>
      <c r="C325" s="24"/>
      <c r="D325" s="9"/>
      <c r="E325" s="18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2.75" customHeight="1" x14ac:dyDescent="0.3">
      <c r="A326" s="9"/>
      <c r="B326" s="9"/>
      <c r="C326" s="24"/>
      <c r="D326" s="9"/>
      <c r="E326" s="18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2.75" customHeight="1" x14ac:dyDescent="0.3">
      <c r="A327" s="9"/>
      <c r="B327" s="9"/>
      <c r="C327" s="24"/>
      <c r="D327" s="9"/>
      <c r="E327" s="18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2.75" customHeight="1" x14ac:dyDescent="0.3">
      <c r="A328" s="9"/>
      <c r="B328" s="9"/>
      <c r="C328" s="24"/>
      <c r="D328" s="9"/>
      <c r="E328" s="18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2.75" customHeight="1" x14ac:dyDescent="0.3">
      <c r="A329" s="9"/>
      <c r="B329" s="9"/>
      <c r="C329" s="24"/>
      <c r="D329" s="9"/>
      <c r="E329" s="18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2.75" customHeight="1" x14ac:dyDescent="0.3">
      <c r="A330" s="9"/>
      <c r="B330" s="9"/>
      <c r="C330" s="24"/>
      <c r="D330" s="9"/>
      <c r="E330" s="18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2.75" customHeight="1" x14ac:dyDescent="0.3">
      <c r="A331" s="9"/>
      <c r="B331" s="9"/>
      <c r="C331" s="24"/>
      <c r="D331" s="9"/>
      <c r="E331" s="18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2.75" customHeight="1" x14ac:dyDescent="0.3">
      <c r="A332" s="9"/>
      <c r="B332" s="9"/>
      <c r="C332" s="24"/>
      <c r="D332" s="9"/>
      <c r="E332" s="18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2.75" customHeight="1" x14ac:dyDescent="0.3">
      <c r="A333" s="9"/>
      <c r="B333" s="9"/>
      <c r="C333" s="24"/>
      <c r="D333" s="9"/>
      <c r="E333" s="18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2.75" customHeight="1" x14ac:dyDescent="0.3">
      <c r="A334" s="9"/>
      <c r="B334" s="9"/>
      <c r="C334" s="24"/>
      <c r="D334" s="9"/>
      <c r="E334" s="18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2.75" customHeight="1" x14ac:dyDescent="0.3">
      <c r="A335" s="9"/>
      <c r="B335" s="9"/>
      <c r="C335" s="24"/>
      <c r="D335" s="9"/>
      <c r="E335" s="18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2.75" customHeight="1" x14ac:dyDescent="0.3">
      <c r="A336" s="9"/>
      <c r="B336" s="9"/>
      <c r="C336" s="24"/>
      <c r="D336" s="9"/>
      <c r="E336" s="18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2.75" customHeight="1" x14ac:dyDescent="0.3">
      <c r="A337" s="9"/>
      <c r="B337" s="9"/>
      <c r="C337" s="24"/>
      <c r="D337" s="9"/>
      <c r="E337" s="18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2.75" customHeight="1" x14ac:dyDescent="0.3">
      <c r="A338" s="9"/>
      <c r="B338" s="9"/>
      <c r="C338" s="24"/>
      <c r="D338" s="9"/>
      <c r="E338" s="18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2.75" customHeight="1" x14ac:dyDescent="0.3">
      <c r="A339" s="9"/>
      <c r="B339" s="9"/>
      <c r="C339" s="24"/>
      <c r="D339" s="9"/>
      <c r="E339" s="18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2.75" customHeight="1" x14ac:dyDescent="0.3">
      <c r="A340" s="9"/>
      <c r="B340" s="9"/>
      <c r="C340" s="24"/>
      <c r="D340" s="9"/>
      <c r="E340" s="18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2.75" customHeight="1" x14ac:dyDescent="0.3">
      <c r="A341" s="9"/>
      <c r="B341" s="9"/>
      <c r="C341" s="24"/>
      <c r="D341" s="9"/>
      <c r="E341" s="18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2.75" customHeight="1" x14ac:dyDescent="0.3">
      <c r="A342" s="9"/>
      <c r="B342" s="9"/>
      <c r="C342" s="24"/>
      <c r="D342" s="9"/>
      <c r="E342" s="18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2.75" customHeight="1" x14ac:dyDescent="0.3">
      <c r="A343" s="9"/>
      <c r="B343" s="9"/>
      <c r="C343" s="24"/>
      <c r="D343" s="9"/>
      <c r="E343" s="18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2.75" customHeight="1" x14ac:dyDescent="0.3">
      <c r="A344" s="9"/>
      <c r="B344" s="9"/>
      <c r="C344" s="24"/>
      <c r="D344" s="9"/>
      <c r="E344" s="18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2.75" customHeight="1" x14ac:dyDescent="0.3">
      <c r="A345" s="9"/>
      <c r="B345" s="9"/>
      <c r="C345" s="24"/>
      <c r="D345" s="9"/>
      <c r="E345" s="18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2.75" customHeight="1" x14ac:dyDescent="0.3">
      <c r="A346" s="9"/>
      <c r="B346" s="9"/>
      <c r="C346" s="24"/>
      <c r="D346" s="9"/>
      <c r="E346" s="18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2.75" customHeight="1" x14ac:dyDescent="0.3">
      <c r="A347" s="9"/>
      <c r="B347" s="9"/>
      <c r="C347" s="24"/>
      <c r="D347" s="9"/>
      <c r="E347" s="18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2.75" customHeight="1" x14ac:dyDescent="0.3">
      <c r="A348" s="9"/>
      <c r="B348" s="9"/>
      <c r="C348" s="24"/>
      <c r="D348" s="9"/>
      <c r="E348" s="18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2.75" customHeight="1" x14ac:dyDescent="0.3">
      <c r="A349" s="9"/>
      <c r="B349" s="9"/>
      <c r="C349" s="24"/>
      <c r="D349" s="9"/>
      <c r="E349" s="18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2.75" customHeight="1" x14ac:dyDescent="0.3">
      <c r="A350" s="9"/>
      <c r="B350" s="9"/>
      <c r="C350" s="24"/>
      <c r="D350" s="9"/>
      <c r="E350" s="18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2.75" customHeight="1" x14ac:dyDescent="0.3">
      <c r="A351" s="9"/>
      <c r="B351" s="9"/>
      <c r="C351" s="24"/>
      <c r="D351" s="9"/>
      <c r="E351" s="18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2.75" customHeight="1" x14ac:dyDescent="0.3">
      <c r="A352" s="9"/>
      <c r="B352" s="9"/>
      <c r="C352" s="24"/>
      <c r="D352" s="9"/>
      <c r="E352" s="18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2.75" customHeight="1" x14ac:dyDescent="0.3">
      <c r="A353" s="9"/>
      <c r="B353" s="9"/>
      <c r="C353" s="24"/>
      <c r="D353" s="9"/>
      <c r="E353" s="18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2.75" customHeight="1" x14ac:dyDescent="0.3">
      <c r="A354" s="9"/>
      <c r="B354" s="9"/>
      <c r="C354" s="24"/>
      <c r="D354" s="9"/>
      <c r="E354" s="18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2.75" customHeight="1" x14ac:dyDescent="0.3">
      <c r="A355" s="9"/>
      <c r="B355" s="9"/>
      <c r="C355" s="24"/>
      <c r="D355" s="9"/>
      <c r="E355" s="18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2.75" customHeight="1" x14ac:dyDescent="0.3">
      <c r="A356" s="9"/>
      <c r="B356" s="9"/>
      <c r="C356" s="24"/>
      <c r="D356" s="9"/>
      <c r="E356" s="18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2.75" customHeight="1" x14ac:dyDescent="0.3">
      <c r="A357" s="9"/>
      <c r="B357" s="9"/>
      <c r="C357" s="24"/>
      <c r="D357" s="9"/>
      <c r="E357" s="18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2.75" customHeight="1" x14ac:dyDescent="0.3">
      <c r="A358" s="9"/>
      <c r="B358" s="9"/>
      <c r="C358" s="24"/>
      <c r="D358" s="9"/>
      <c r="E358" s="18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2.75" customHeight="1" x14ac:dyDescent="0.3">
      <c r="A359" s="9"/>
      <c r="B359" s="9"/>
      <c r="C359" s="24"/>
      <c r="D359" s="9"/>
      <c r="E359" s="18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2.75" customHeight="1" x14ac:dyDescent="0.3">
      <c r="A360" s="9"/>
      <c r="B360" s="9"/>
      <c r="C360" s="24"/>
      <c r="D360" s="9"/>
      <c r="E360" s="18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2.75" customHeight="1" x14ac:dyDescent="0.3">
      <c r="A361" s="9"/>
      <c r="B361" s="9"/>
      <c r="C361" s="24"/>
      <c r="D361" s="9"/>
      <c r="E361" s="18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2.75" customHeight="1" x14ac:dyDescent="0.3">
      <c r="A362" s="9"/>
      <c r="B362" s="9"/>
      <c r="C362" s="24"/>
      <c r="D362" s="9"/>
      <c r="E362" s="18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2.75" customHeight="1" x14ac:dyDescent="0.3">
      <c r="A363" s="9"/>
      <c r="B363" s="9"/>
      <c r="C363" s="24"/>
      <c r="D363" s="9"/>
      <c r="E363" s="18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2.75" customHeight="1" x14ac:dyDescent="0.3">
      <c r="A364" s="9"/>
      <c r="B364" s="9"/>
      <c r="C364" s="24"/>
      <c r="D364" s="9"/>
      <c r="E364" s="18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2.75" customHeight="1" x14ac:dyDescent="0.3">
      <c r="A365" s="9"/>
      <c r="B365" s="9"/>
      <c r="C365" s="24"/>
      <c r="D365" s="9"/>
      <c r="E365" s="18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2.75" customHeight="1" x14ac:dyDescent="0.3">
      <c r="A366" s="9"/>
      <c r="B366" s="9"/>
      <c r="C366" s="24"/>
      <c r="D366" s="9"/>
      <c r="E366" s="18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2.75" customHeight="1" x14ac:dyDescent="0.3">
      <c r="A367" s="9"/>
      <c r="B367" s="9"/>
      <c r="C367" s="24"/>
      <c r="D367" s="9"/>
      <c r="E367" s="18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2.75" customHeight="1" x14ac:dyDescent="0.3">
      <c r="A368" s="9"/>
      <c r="B368" s="9"/>
      <c r="C368" s="24"/>
      <c r="D368" s="9"/>
      <c r="E368" s="18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2.75" customHeight="1" x14ac:dyDescent="0.3">
      <c r="A369" s="9"/>
      <c r="B369" s="9"/>
      <c r="C369" s="24"/>
      <c r="D369" s="9"/>
      <c r="E369" s="18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2.75" customHeight="1" x14ac:dyDescent="0.3">
      <c r="A370" s="9"/>
      <c r="B370" s="9"/>
      <c r="C370" s="24"/>
      <c r="D370" s="9"/>
      <c r="E370" s="18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2.75" customHeight="1" x14ac:dyDescent="0.3">
      <c r="A371" s="9"/>
      <c r="B371" s="9"/>
      <c r="C371" s="24"/>
      <c r="D371" s="9"/>
      <c r="E371" s="18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2.75" customHeight="1" x14ac:dyDescent="0.3">
      <c r="A372" s="9"/>
      <c r="B372" s="9"/>
      <c r="C372" s="24"/>
      <c r="D372" s="9"/>
      <c r="E372" s="18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2.75" customHeight="1" x14ac:dyDescent="0.3">
      <c r="A373" s="9"/>
      <c r="B373" s="9"/>
      <c r="C373" s="24"/>
      <c r="D373" s="9"/>
      <c r="E373" s="18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2.75" customHeight="1" x14ac:dyDescent="0.3">
      <c r="A374" s="9"/>
      <c r="B374" s="9"/>
      <c r="C374" s="24"/>
      <c r="D374" s="9"/>
      <c r="E374" s="18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2.75" customHeight="1" x14ac:dyDescent="0.3">
      <c r="A375" s="9"/>
      <c r="B375" s="9"/>
      <c r="C375" s="24"/>
      <c r="D375" s="9"/>
      <c r="E375" s="18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2.75" customHeight="1" x14ac:dyDescent="0.3">
      <c r="A376" s="9"/>
      <c r="B376" s="9"/>
      <c r="C376" s="24"/>
      <c r="D376" s="9"/>
      <c r="E376" s="18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2.75" customHeight="1" x14ac:dyDescent="0.3">
      <c r="A377" s="9"/>
      <c r="B377" s="9"/>
      <c r="C377" s="24"/>
      <c r="D377" s="9"/>
      <c r="E377" s="18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2.75" customHeight="1" x14ac:dyDescent="0.3">
      <c r="A378" s="9"/>
      <c r="B378" s="9"/>
      <c r="C378" s="24"/>
      <c r="D378" s="9"/>
      <c r="E378" s="18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2.75" customHeight="1" x14ac:dyDescent="0.3">
      <c r="A379" s="9"/>
      <c r="B379" s="9"/>
      <c r="C379" s="24"/>
      <c r="D379" s="9"/>
      <c r="E379" s="18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2.75" customHeight="1" x14ac:dyDescent="0.3">
      <c r="A380" s="9"/>
      <c r="B380" s="9"/>
      <c r="C380" s="24"/>
      <c r="D380" s="9"/>
      <c r="E380" s="18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2.75" customHeight="1" x14ac:dyDescent="0.3">
      <c r="A381" s="9"/>
      <c r="B381" s="9"/>
      <c r="C381" s="24"/>
      <c r="D381" s="9"/>
      <c r="E381" s="18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2.75" customHeight="1" x14ac:dyDescent="0.3">
      <c r="A382" s="9"/>
      <c r="B382" s="9"/>
      <c r="C382" s="24"/>
      <c r="D382" s="9"/>
      <c r="E382" s="18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2.75" customHeight="1" x14ac:dyDescent="0.3">
      <c r="A383" s="9"/>
      <c r="B383" s="9"/>
      <c r="C383" s="24"/>
      <c r="D383" s="9"/>
      <c r="E383" s="18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2.75" customHeight="1" x14ac:dyDescent="0.3">
      <c r="A384" s="9"/>
      <c r="B384" s="9"/>
      <c r="C384" s="24"/>
      <c r="D384" s="9"/>
      <c r="E384" s="18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2.75" customHeight="1" x14ac:dyDescent="0.3">
      <c r="A385" s="9"/>
      <c r="B385" s="9"/>
      <c r="C385" s="24"/>
      <c r="D385" s="9"/>
      <c r="E385" s="18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2.75" customHeight="1" x14ac:dyDescent="0.3">
      <c r="A386" s="9"/>
      <c r="B386" s="9"/>
      <c r="C386" s="24"/>
      <c r="D386" s="9"/>
      <c r="E386" s="18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2.75" customHeight="1" x14ac:dyDescent="0.3">
      <c r="A387" s="9"/>
      <c r="B387" s="9"/>
      <c r="C387" s="24"/>
      <c r="D387" s="9"/>
      <c r="E387" s="18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2.75" customHeight="1" x14ac:dyDescent="0.3">
      <c r="A388" s="9"/>
      <c r="B388" s="9"/>
      <c r="C388" s="24"/>
      <c r="D388" s="9"/>
      <c r="E388" s="18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2.75" customHeight="1" x14ac:dyDescent="0.3">
      <c r="A389" s="9"/>
      <c r="B389" s="9"/>
      <c r="C389" s="24"/>
      <c r="D389" s="9"/>
      <c r="E389" s="18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2.75" customHeight="1" x14ac:dyDescent="0.3">
      <c r="A390" s="9"/>
      <c r="B390" s="9"/>
      <c r="C390" s="24"/>
      <c r="D390" s="9"/>
      <c r="E390" s="18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2.75" customHeight="1" x14ac:dyDescent="0.3">
      <c r="A391" s="9"/>
      <c r="B391" s="9"/>
      <c r="C391" s="24"/>
      <c r="D391" s="9"/>
      <c r="E391" s="18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2.75" customHeight="1" x14ac:dyDescent="0.3">
      <c r="A392" s="9"/>
      <c r="B392" s="9"/>
      <c r="C392" s="24"/>
      <c r="D392" s="9"/>
      <c r="E392" s="18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2.75" customHeight="1" x14ac:dyDescent="0.3">
      <c r="A393" s="9"/>
      <c r="B393" s="9"/>
      <c r="C393" s="24"/>
      <c r="D393" s="9"/>
      <c r="E393" s="18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2.75" customHeight="1" x14ac:dyDescent="0.3">
      <c r="A394" s="9"/>
      <c r="B394" s="9"/>
      <c r="C394" s="24"/>
      <c r="D394" s="9"/>
      <c r="E394" s="18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2.75" customHeight="1" x14ac:dyDescent="0.3">
      <c r="A395" s="9"/>
      <c r="B395" s="9"/>
      <c r="C395" s="24"/>
      <c r="D395" s="9"/>
      <c r="E395" s="18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2.75" customHeight="1" x14ac:dyDescent="0.3">
      <c r="A396" s="9"/>
      <c r="B396" s="9"/>
      <c r="C396" s="24"/>
      <c r="D396" s="9"/>
      <c r="E396" s="18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2.75" customHeight="1" x14ac:dyDescent="0.3">
      <c r="A397" s="9"/>
      <c r="B397" s="9"/>
      <c r="C397" s="24"/>
      <c r="D397" s="9"/>
      <c r="E397" s="18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2.75" customHeight="1" x14ac:dyDescent="0.3">
      <c r="A398" s="9"/>
      <c r="B398" s="9"/>
      <c r="C398" s="24"/>
      <c r="D398" s="9"/>
      <c r="E398" s="18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2.75" customHeight="1" x14ac:dyDescent="0.3">
      <c r="A399" s="9"/>
      <c r="B399" s="9"/>
      <c r="C399" s="24"/>
      <c r="D399" s="9"/>
      <c r="E399" s="18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2.75" customHeight="1" x14ac:dyDescent="0.3">
      <c r="A400" s="9"/>
      <c r="B400" s="9"/>
      <c r="C400" s="24"/>
      <c r="D400" s="9"/>
      <c r="E400" s="18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2.75" customHeight="1" x14ac:dyDescent="0.3">
      <c r="A401" s="9"/>
      <c r="B401" s="9"/>
      <c r="C401" s="24"/>
      <c r="D401" s="9"/>
      <c r="E401" s="18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2.75" customHeight="1" x14ac:dyDescent="0.3">
      <c r="A402" s="9"/>
      <c r="B402" s="9"/>
      <c r="C402" s="24"/>
      <c r="D402" s="9"/>
      <c r="E402" s="18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2.75" customHeight="1" x14ac:dyDescent="0.3">
      <c r="A403" s="9"/>
      <c r="B403" s="9"/>
      <c r="C403" s="24"/>
      <c r="D403" s="9"/>
      <c r="E403" s="18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2.75" customHeight="1" x14ac:dyDescent="0.3">
      <c r="A404" s="9"/>
      <c r="B404" s="9"/>
      <c r="C404" s="24"/>
      <c r="D404" s="9"/>
      <c r="E404" s="18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2.75" customHeight="1" x14ac:dyDescent="0.3">
      <c r="A405" s="9"/>
      <c r="B405" s="9"/>
      <c r="C405" s="24"/>
      <c r="D405" s="9"/>
      <c r="E405" s="18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2.75" customHeight="1" x14ac:dyDescent="0.3">
      <c r="A406" s="9"/>
      <c r="B406" s="9"/>
      <c r="C406" s="24"/>
      <c r="D406" s="9"/>
      <c r="E406" s="18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2.75" customHeight="1" x14ac:dyDescent="0.3">
      <c r="A407" s="9"/>
      <c r="B407" s="9"/>
      <c r="C407" s="24"/>
      <c r="D407" s="9"/>
      <c r="E407" s="18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2.75" customHeight="1" x14ac:dyDescent="0.3">
      <c r="A408" s="9"/>
      <c r="B408" s="9"/>
      <c r="C408" s="24"/>
      <c r="D408" s="9"/>
      <c r="E408" s="18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2.75" customHeight="1" x14ac:dyDescent="0.3">
      <c r="A409" s="9"/>
      <c r="B409" s="9"/>
      <c r="C409" s="24"/>
      <c r="D409" s="9"/>
      <c r="E409" s="18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2.75" customHeight="1" x14ac:dyDescent="0.3">
      <c r="A410" s="9"/>
      <c r="B410" s="9"/>
      <c r="C410" s="24"/>
      <c r="D410" s="9"/>
      <c r="E410" s="18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2.75" customHeight="1" x14ac:dyDescent="0.3">
      <c r="A411" s="9"/>
      <c r="B411" s="9"/>
      <c r="C411" s="24"/>
      <c r="D411" s="9"/>
      <c r="E411" s="18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2.75" customHeight="1" x14ac:dyDescent="0.3">
      <c r="A412" s="9"/>
      <c r="B412" s="9"/>
      <c r="C412" s="24"/>
      <c r="D412" s="9"/>
      <c r="E412" s="18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2.75" customHeight="1" x14ac:dyDescent="0.3">
      <c r="A413" s="9"/>
      <c r="B413" s="9"/>
      <c r="C413" s="24"/>
      <c r="D413" s="9"/>
      <c r="E413" s="18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2.75" customHeight="1" x14ac:dyDescent="0.3">
      <c r="A414" s="9"/>
      <c r="B414" s="9"/>
      <c r="C414" s="24"/>
      <c r="D414" s="9"/>
      <c r="E414" s="18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2.75" customHeight="1" x14ac:dyDescent="0.3">
      <c r="A415" s="9"/>
      <c r="B415" s="9"/>
      <c r="C415" s="24"/>
      <c r="D415" s="9"/>
      <c r="E415" s="18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2.75" customHeight="1" x14ac:dyDescent="0.3">
      <c r="A416" s="9"/>
      <c r="B416" s="9"/>
      <c r="C416" s="24"/>
      <c r="D416" s="9"/>
      <c r="E416" s="18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2.75" customHeight="1" x14ac:dyDescent="0.3">
      <c r="A417" s="9"/>
      <c r="B417" s="9"/>
      <c r="C417" s="24"/>
      <c r="D417" s="9"/>
      <c r="E417" s="18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2.75" customHeight="1" x14ac:dyDescent="0.3">
      <c r="A418" s="9"/>
      <c r="B418" s="9"/>
      <c r="C418" s="24"/>
      <c r="D418" s="9"/>
      <c r="E418" s="18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2.75" customHeight="1" x14ac:dyDescent="0.3">
      <c r="A419" s="9"/>
      <c r="B419" s="9"/>
      <c r="C419" s="24"/>
      <c r="D419" s="9"/>
      <c r="E419" s="18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2.75" customHeight="1" x14ac:dyDescent="0.3">
      <c r="A420" s="9"/>
      <c r="B420" s="9"/>
      <c r="C420" s="24"/>
      <c r="D420" s="9"/>
      <c r="E420" s="18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2.75" customHeight="1" x14ac:dyDescent="0.3">
      <c r="A421" s="9"/>
      <c r="B421" s="9"/>
      <c r="C421" s="24"/>
      <c r="D421" s="9"/>
      <c r="E421" s="18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2.75" customHeight="1" x14ac:dyDescent="0.3">
      <c r="A422" s="9"/>
      <c r="B422" s="9"/>
      <c r="C422" s="24"/>
      <c r="D422" s="9"/>
      <c r="E422" s="18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2.75" customHeight="1" x14ac:dyDescent="0.3">
      <c r="A423" s="9"/>
      <c r="B423" s="9"/>
      <c r="C423" s="24"/>
      <c r="D423" s="9"/>
      <c r="E423" s="18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2.75" customHeight="1" x14ac:dyDescent="0.3">
      <c r="A424" s="9"/>
      <c r="B424" s="9"/>
      <c r="C424" s="24"/>
      <c r="D424" s="9"/>
      <c r="E424" s="18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2.75" customHeight="1" x14ac:dyDescent="0.3">
      <c r="A425" s="9"/>
      <c r="B425" s="9"/>
      <c r="C425" s="24"/>
      <c r="D425" s="9"/>
      <c r="E425" s="18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2.75" customHeight="1" x14ac:dyDescent="0.3">
      <c r="A426" s="9"/>
      <c r="B426" s="9"/>
      <c r="C426" s="24"/>
      <c r="D426" s="9"/>
      <c r="E426" s="18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2.75" customHeight="1" x14ac:dyDescent="0.3">
      <c r="A427" s="9"/>
      <c r="B427" s="9"/>
      <c r="C427" s="24"/>
      <c r="D427" s="9"/>
      <c r="E427" s="18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2.75" customHeight="1" x14ac:dyDescent="0.3">
      <c r="A428" s="9"/>
      <c r="B428" s="9"/>
      <c r="C428" s="24"/>
      <c r="D428" s="9"/>
      <c r="E428" s="18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2.75" customHeight="1" x14ac:dyDescent="0.3">
      <c r="A429" s="9"/>
      <c r="B429" s="9"/>
      <c r="C429" s="24"/>
      <c r="D429" s="9"/>
      <c r="E429" s="18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2.75" customHeight="1" x14ac:dyDescent="0.3">
      <c r="A430" s="9"/>
      <c r="B430" s="9"/>
      <c r="C430" s="24"/>
      <c r="D430" s="9"/>
      <c r="E430" s="18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2.75" customHeight="1" x14ac:dyDescent="0.3">
      <c r="A431" s="9"/>
      <c r="B431" s="9"/>
      <c r="C431" s="24"/>
      <c r="D431" s="9"/>
      <c r="E431" s="18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2.75" customHeight="1" x14ac:dyDescent="0.3">
      <c r="A432" s="9"/>
      <c r="B432" s="9"/>
      <c r="C432" s="24"/>
      <c r="D432" s="9"/>
      <c r="E432" s="18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2.75" customHeight="1" x14ac:dyDescent="0.3">
      <c r="A433" s="9"/>
      <c r="B433" s="9"/>
      <c r="C433" s="24"/>
      <c r="D433" s="9"/>
      <c r="E433" s="18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2.75" customHeight="1" x14ac:dyDescent="0.3">
      <c r="A434" s="9"/>
      <c r="B434" s="9"/>
      <c r="C434" s="24"/>
      <c r="D434" s="9"/>
      <c r="E434" s="18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2.75" customHeight="1" x14ac:dyDescent="0.3">
      <c r="A435" s="9"/>
      <c r="B435" s="9"/>
      <c r="C435" s="24"/>
      <c r="D435" s="9"/>
      <c r="E435" s="18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2.75" customHeight="1" x14ac:dyDescent="0.3">
      <c r="A436" s="9"/>
      <c r="B436" s="9"/>
      <c r="C436" s="24"/>
      <c r="D436" s="9"/>
      <c r="E436" s="18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2.75" customHeight="1" x14ac:dyDescent="0.3">
      <c r="A437" s="9"/>
      <c r="B437" s="9"/>
      <c r="C437" s="24"/>
      <c r="D437" s="9"/>
      <c r="E437" s="18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2.75" customHeight="1" x14ac:dyDescent="0.3">
      <c r="A438" s="9"/>
      <c r="B438" s="9"/>
      <c r="C438" s="24"/>
      <c r="D438" s="9"/>
      <c r="E438" s="18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2.75" customHeight="1" x14ac:dyDescent="0.3">
      <c r="A439" s="9"/>
      <c r="B439" s="9"/>
      <c r="C439" s="24"/>
      <c r="D439" s="9"/>
      <c r="E439" s="18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2.75" customHeight="1" x14ac:dyDescent="0.3">
      <c r="A440" s="9"/>
      <c r="B440" s="9"/>
      <c r="C440" s="24"/>
      <c r="D440" s="9"/>
      <c r="E440" s="18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2.75" customHeight="1" x14ac:dyDescent="0.3">
      <c r="A441" s="9"/>
      <c r="B441" s="9"/>
      <c r="C441" s="24"/>
      <c r="D441" s="9"/>
      <c r="E441" s="18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2.75" customHeight="1" x14ac:dyDescent="0.3">
      <c r="A442" s="9"/>
      <c r="B442" s="9"/>
      <c r="C442" s="24"/>
      <c r="D442" s="9"/>
      <c r="E442" s="18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2.75" customHeight="1" x14ac:dyDescent="0.3">
      <c r="A443" s="9"/>
      <c r="B443" s="9"/>
      <c r="C443" s="24"/>
      <c r="D443" s="9"/>
      <c r="E443" s="18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2.75" customHeight="1" x14ac:dyDescent="0.3">
      <c r="A444" s="9"/>
      <c r="B444" s="9"/>
      <c r="C444" s="24"/>
      <c r="D444" s="9"/>
      <c r="E444" s="18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2.75" customHeight="1" x14ac:dyDescent="0.3">
      <c r="A445" s="9"/>
      <c r="B445" s="9"/>
      <c r="C445" s="24"/>
      <c r="D445" s="9"/>
      <c r="E445" s="18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2.75" customHeight="1" x14ac:dyDescent="0.3">
      <c r="A446" s="9"/>
      <c r="B446" s="9"/>
      <c r="C446" s="24"/>
      <c r="D446" s="9"/>
      <c r="E446" s="18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2.75" customHeight="1" x14ac:dyDescent="0.3">
      <c r="A447" s="9"/>
      <c r="B447" s="9"/>
      <c r="C447" s="24"/>
      <c r="D447" s="9"/>
      <c r="E447" s="18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2.75" customHeight="1" x14ac:dyDescent="0.3">
      <c r="A448" s="9"/>
      <c r="B448" s="9"/>
      <c r="C448" s="24"/>
      <c r="D448" s="9"/>
      <c r="E448" s="18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2.75" customHeight="1" x14ac:dyDescent="0.3">
      <c r="A449" s="9"/>
      <c r="B449" s="9"/>
      <c r="C449" s="24"/>
      <c r="D449" s="9"/>
      <c r="E449" s="18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2.75" customHeight="1" x14ac:dyDescent="0.3">
      <c r="A450" s="9"/>
      <c r="B450" s="9"/>
      <c r="C450" s="24"/>
      <c r="D450" s="9"/>
      <c r="E450" s="18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2.75" customHeight="1" x14ac:dyDescent="0.3">
      <c r="A451" s="9"/>
      <c r="B451" s="9"/>
      <c r="C451" s="24"/>
      <c r="D451" s="9"/>
      <c r="E451" s="18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2.75" customHeight="1" x14ac:dyDescent="0.3">
      <c r="A452" s="9"/>
      <c r="B452" s="9"/>
      <c r="C452" s="24"/>
      <c r="D452" s="9"/>
      <c r="E452" s="18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2.75" customHeight="1" x14ac:dyDescent="0.3">
      <c r="A453" s="9"/>
      <c r="B453" s="9"/>
      <c r="C453" s="24"/>
      <c r="D453" s="9"/>
      <c r="E453" s="18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2.75" customHeight="1" x14ac:dyDescent="0.3">
      <c r="A454" s="9"/>
      <c r="B454" s="9"/>
      <c r="C454" s="24"/>
      <c r="D454" s="9"/>
      <c r="E454" s="18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2.75" customHeight="1" x14ac:dyDescent="0.3">
      <c r="A455" s="9"/>
      <c r="B455" s="9"/>
      <c r="C455" s="24"/>
      <c r="D455" s="9"/>
      <c r="E455" s="18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2.75" customHeight="1" x14ac:dyDescent="0.3">
      <c r="A456" s="9"/>
      <c r="B456" s="9"/>
      <c r="C456" s="24"/>
      <c r="D456" s="9"/>
      <c r="E456" s="18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2.75" customHeight="1" x14ac:dyDescent="0.3">
      <c r="A457" s="9"/>
      <c r="B457" s="9"/>
      <c r="C457" s="24"/>
      <c r="D457" s="9"/>
      <c r="E457" s="18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2.75" customHeight="1" x14ac:dyDescent="0.3">
      <c r="A458" s="9"/>
      <c r="B458" s="9"/>
      <c r="C458" s="24"/>
      <c r="D458" s="9"/>
      <c r="E458" s="18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2.75" customHeight="1" x14ac:dyDescent="0.3">
      <c r="A459" s="9"/>
      <c r="B459" s="9"/>
      <c r="C459" s="24"/>
      <c r="D459" s="9"/>
      <c r="E459" s="18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2.75" customHeight="1" x14ac:dyDescent="0.3">
      <c r="A460" s="9"/>
      <c r="B460" s="9"/>
      <c r="C460" s="24"/>
      <c r="D460" s="9"/>
      <c r="E460" s="18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2.75" customHeight="1" x14ac:dyDescent="0.3">
      <c r="A461" s="9"/>
      <c r="B461" s="9"/>
      <c r="C461" s="24"/>
      <c r="D461" s="9"/>
      <c r="E461" s="18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2.75" customHeight="1" x14ac:dyDescent="0.3">
      <c r="A462" s="9"/>
      <c r="B462" s="9"/>
      <c r="C462" s="24"/>
      <c r="D462" s="9"/>
      <c r="E462" s="18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2.75" customHeight="1" x14ac:dyDescent="0.3">
      <c r="A463" s="9"/>
      <c r="B463" s="9"/>
      <c r="C463" s="24"/>
      <c r="D463" s="9"/>
      <c r="E463" s="18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2.75" customHeight="1" x14ac:dyDescent="0.3">
      <c r="A464" s="9"/>
      <c r="B464" s="9"/>
      <c r="C464" s="24"/>
      <c r="D464" s="9"/>
      <c r="E464" s="18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2.75" customHeight="1" x14ac:dyDescent="0.3">
      <c r="A465" s="9"/>
      <c r="B465" s="9"/>
      <c r="C465" s="24"/>
      <c r="D465" s="9"/>
      <c r="E465" s="18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2.75" customHeight="1" x14ac:dyDescent="0.3">
      <c r="A466" s="9"/>
      <c r="B466" s="9"/>
      <c r="C466" s="24"/>
      <c r="D466" s="9"/>
      <c r="E466" s="18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2.75" customHeight="1" x14ac:dyDescent="0.3">
      <c r="A467" s="9"/>
      <c r="B467" s="9"/>
      <c r="C467" s="24"/>
      <c r="D467" s="9"/>
      <c r="E467" s="18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2.75" customHeight="1" x14ac:dyDescent="0.3">
      <c r="A468" s="9"/>
      <c r="B468" s="9"/>
      <c r="C468" s="24"/>
      <c r="D468" s="9"/>
      <c r="E468" s="18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2.75" customHeight="1" x14ac:dyDescent="0.3">
      <c r="A469" s="9"/>
      <c r="B469" s="9"/>
      <c r="C469" s="24"/>
      <c r="D469" s="9"/>
      <c r="E469" s="18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2.75" customHeight="1" x14ac:dyDescent="0.3">
      <c r="A470" s="9"/>
      <c r="B470" s="9"/>
      <c r="C470" s="24"/>
      <c r="D470" s="9"/>
      <c r="E470" s="18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2.75" customHeight="1" x14ac:dyDescent="0.3">
      <c r="A471" s="9"/>
      <c r="B471" s="9"/>
      <c r="C471" s="24"/>
      <c r="D471" s="9"/>
      <c r="E471" s="18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2.75" customHeight="1" x14ac:dyDescent="0.3">
      <c r="A472" s="9"/>
      <c r="B472" s="9"/>
      <c r="C472" s="24"/>
      <c r="D472" s="9"/>
      <c r="E472" s="18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2.75" customHeight="1" x14ac:dyDescent="0.3">
      <c r="A473" s="9"/>
      <c r="B473" s="9"/>
      <c r="C473" s="24"/>
      <c r="D473" s="9"/>
      <c r="E473" s="18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2.75" customHeight="1" x14ac:dyDescent="0.3">
      <c r="A474" s="9"/>
      <c r="B474" s="9"/>
      <c r="C474" s="24"/>
      <c r="D474" s="9"/>
      <c r="E474" s="18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2.75" customHeight="1" x14ac:dyDescent="0.3">
      <c r="A475" s="9"/>
      <c r="B475" s="9"/>
      <c r="C475" s="24"/>
      <c r="D475" s="9"/>
      <c r="E475" s="18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2.75" customHeight="1" x14ac:dyDescent="0.3">
      <c r="A476" s="9"/>
      <c r="B476" s="9"/>
      <c r="C476" s="24"/>
      <c r="D476" s="9"/>
      <c r="E476" s="18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2.75" customHeight="1" x14ac:dyDescent="0.3">
      <c r="A477" s="9"/>
      <c r="B477" s="9"/>
      <c r="C477" s="24"/>
      <c r="D477" s="9"/>
      <c r="E477" s="18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2.75" customHeight="1" x14ac:dyDescent="0.3">
      <c r="A478" s="9"/>
      <c r="B478" s="9"/>
      <c r="C478" s="24"/>
      <c r="D478" s="9"/>
      <c r="E478" s="18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2.75" customHeight="1" x14ac:dyDescent="0.3">
      <c r="A479" s="9"/>
      <c r="B479" s="9"/>
      <c r="C479" s="24"/>
      <c r="D479" s="9"/>
      <c r="E479" s="18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2.75" customHeight="1" x14ac:dyDescent="0.3">
      <c r="A480" s="9"/>
      <c r="B480" s="9"/>
      <c r="C480" s="24"/>
      <c r="D480" s="9"/>
      <c r="E480" s="18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2.75" customHeight="1" x14ac:dyDescent="0.3">
      <c r="A481" s="9"/>
      <c r="B481" s="9"/>
      <c r="C481" s="24"/>
      <c r="D481" s="9"/>
      <c r="E481" s="18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2.75" customHeight="1" x14ac:dyDescent="0.3">
      <c r="A482" s="9"/>
      <c r="B482" s="9"/>
      <c r="C482" s="24"/>
      <c r="D482" s="9"/>
      <c r="E482" s="18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2.75" customHeight="1" x14ac:dyDescent="0.3">
      <c r="A483" s="9"/>
      <c r="B483" s="9"/>
      <c r="C483" s="24"/>
      <c r="D483" s="9"/>
      <c r="E483" s="18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2.75" customHeight="1" x14ac:dyDescent="0.3">
      <c r="A484" s="9"/>
      <c r="B484" s="9"/>
      <c r="C484" s="24"/>
      <c r="D484" s="9"/>
      <c r="E484" s="18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2.75" customHeight="1" x14ac:dyDescent="0.3">
      <c r="A485" s="9"/>
      <c r="B485" s="9"/>
      <c r="C485" s="24"/>
      <c r="D485" s="9"/>
      <c r="E485" s="18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2.75" customHeight="1" x14ac:dyDescent="0.3">
      <c r="A486" s="9"/>
      <c r="B486" s="9"/>
      <c r="C486" s="24"/>
      <c r="D486" s="9"/>
      <c r="E486" s="18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2.75" customHeight="1" x14ac:dyDescent="0.3">
      <c r="A487" s="9"/>
      <c r="B487" s="9"/>
      <c r="C487" s="24"/>
      <c r="D487" s="9"/>
      <c r="E487" s="18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2.75" customHeight="1" x14ac:dyDescent="0.3">
      <c r="A488" s="9"/>
      <c r="B488" s="9"/>
      <c r="C488" s="24"/>
      <c r="D488" s="9"/>
      <c r="E488" s="18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2.75" customHeight="1" x14ac:dyDescent="0.3">
      <c r="A489" s="9"/>
      <c r="B489" s="9"/>
      <c r="C489" s="24"/>
      <c r="D489" s="9"/>
      <c r="E489" s="18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2.75" customHeight="1" x14ac:dyDescent="0.3">
      <c r="A490" s="9"/>
      <c r="B490" s="9"/>
      <c r="C490" s="24"/>
      <c r="D490" s="9"/>
      <c r="E490" s="18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2.75" customHeight="1" x14ac:dyDescent="0.3">
      <c r="A491" s="9"/>
      <c r="B491" s="9"/>
      <c r="C491" s="24"/>
      <c r="D491" s="9"/>
      <c r="E491" s="18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2.75" customHeight="1" x14ac:dyDescent="0.3">
      <c r="A492" s="9"/>
      <c r="B492" s="9"/>
      <c r="C492" s="24"/>
      <c r="D492" s="9"/>
      <c r="E492" s="18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2.75" customHeight="1" x14ac:dyDescent="0.3">
      <c r="A493" s="9"/>
      <c r="B493" s="9"/>
      <c r="C493" s="24"/>
      <c r="D493" s="9"/>
      <c r="E493" s="18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2.75" customHeight="1" x14ac:dyDescent="0.3">
      <c r="A494" s="9"/>
      <c r="B494" s="9"/>
      <c r="C494" s="24"/>
      <c r="D494" s="9"/>
      <c r="E494" s="18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2.75" customHeight="1" x14ac:dyDescent="0.3">
      <c r="A495" s="9"/>
      <c r="B495" s="9"/>
      <c r="C495" s="24"/>
      <c r="D495" s="9"/>
      <c r="E495" s="18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2.75" customHeight="1" x14ac:dyDescent="0.3">
      <c r="A496" s="9"/>
      <c r="B496" s="9"/>
      <c r="C496" s="24"/>
      <c r="D496" s="9"/>
      <c r="E496" s="18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2.75" customHeight="1" x14ac:dyDescent="0.3">
      <c r="A497" s="9"/>
      <c r="B497" s="9"/>
      <c r="C497" s="24"/>
      <c r="D497" s="9"/>
      <c r="E497" s="18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2.75" customHeight="1" x14ac:dyDescent="0.3">
      <c r="A498" s="9"/>
      <c r="B498" s="9"/>
      <c r="C498" s="24"/>
      <c r="D498" s="9"/>
      <c r="E498" s="18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2.75" customHeight="1" x14ac:dyDescent="0.3">
      <c r="A499" s="9"/>
      <c r="B499" s="9"/>
      <c r="C499" s="24"/>
      <c r="D499" s="9"/>
      <c r="E499" s="18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2.75" customHeight="1" x14ac:dyDescent="0.3">
      <c r="A500" s="9"/>
      <c r="B500" s="9"/>
      <c r="C500" s="24"/>
      <c r="D500" s="9"/>
      <c r="E500" s="18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2.75" customHeight="1" x14ac:dyDescent="0.3">
      <c r="A501" s="9"/>
      <c r="B501" s="9"/>
      <c r="C501" s="24"/>
      <c r="D501" s="9"/>
      <c r="E501" s="18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2.75" customHeight="1" x14ac:dyDescent="0.3">
      <c r="A502" s="9"/>
      <c r="B502" s="9"/>
      <c r="C502" s="24"/>
      <c r="D502" s="9"/>
      <c r="E502" s="18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2.75" customHeight="1" x14ac:dyDescent="0.3">
      <c r="A503" s="9"/>
      <c r="B503" s="9"/>
      <c r="C503" s="24"/>
      <c r="D503" s="9"/>
      <c r="E503" s="18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2.75" customHeight="1" x14ac:dyDescent="0.3">
      <c r="A504" s="9"/>
      <c r="B504" s="9"/>
      <c r="C504" s="24"/>
      <c r="D504" s="9"/>
      <c r="E504" s="18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2.75" customHeight="1" x14ac:dyDescent="0.3">
      <c r="A505" s="9"/>
      <c r="B505" s="9"/>
      <c r="C505" s="24"/>
      <c r="D505" s="9"/>
      <c r="E505" s="18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2.75" customHeight="1" x14ac:dyDescent="0.3">
      <c r="A506" s="9"/>
      <c r="B506" s="9"/>
      <c r="C506" s="24"/>
      <c r="D506" s="9"/>
      <c r="E506" s="18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2.75" customHeight="1" x14ac:dyDescent="0.3">
      <c r="A507" s="9"/>
      <c r="B507" s="9"/>
      <c r="C507" s="24"/>
      <c r="D507" s="9"/>
      <c r="E507" s="18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2.75" customHeight="1" x14ac:dyDescent="0.3">
      <c r="A508" s="9"/>
      <c r="B508" s="9"/>
      <c r="C508" s="24"/>
      <c r="D508" s="9"/>
      <c r="E508" s="18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2.75" customHeight="1" x14ac:dyDescent="0.3">
      <c r="A509" s="9"/>
      <c r="B509" s="9"/>
      <c r="C509" s="24"/>
      <c r="D509" s="9"/>
      <c r="E509" s="18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2.75" customHeight="1" x14ac:dyDescent="0.3">
      <c r="A510" s="9"/>
      <c r="B510" s="9"/>
      <c r="C510" s="24"/>
      <c r="D510" s="9"/>
      <c r="E510" s="18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2.75" customHeight="1" x14ac:dyDescent="0.3">
      <c r="A511" s="9"/>
      <c r="B511" s="9"/>
      <c r="C511" s="24"/>
      <c r="D511" s="9"/>
      <c r="E511" s="18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2.75" customHeight="1" x14ac:dyDescent="0.3">
      <c r="A512" s="9"/>
      <c r="B512" s="9"/>
      <c r="C512" s="24"/>
      <c r="D512" s="9"/>
      <c r="E512" s="18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2.75" customHeight="1" x14ac:dyDescent="0.3">
      <c r="A513" s="9"/>
      <c r="B513" s="9"/>
      <c r="C513" s="24"/>
      <c r="D513" s="9"/>
      <c r="E513" s="18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2.75" customHeight="1" x14ac:dyDescent="0.3">
      <c r="A514" s="9"/>
      <c r="B514" s="9"/>
      <c r="C514" s="24"/>
      <c r="D514" s="9"/>
      <c r="E514" s="18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2.75" customHeight="1" x14ac:dyDescent="0.3">
      <c r="A515" s="9"/>
      <c r="B515" s="9"/>
      <c r="C515" s="24"/>
      <c r="D515" s="9"/>
      <c r="E515" s="18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2.75" customHeight="1" x14ac:dyDescent="0.3">
      <c r="A516" s="9"/>
      <c r="B516" s="9"/>
      <c r="C516" s="24"/>
      <c r="D516" s="9"/>
      <c r="E516" s="18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2.75" customHeight="1" x14ac:dyDescent="0.3">
      <c r="A517" s="9"/>
      <c r="B517" s="9"/>
      <c r="C517" s="24"/>
      <c r="D517" s="9"/>
      <c r="E517" s="18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2.75" customHeight="1" x14ac:dyDescent="0.3">
      <c r="A518" s="9"/>
      <c r="B518" s="9"/>
      <c r="C518" s="24"/>
      <c r="D518" s="9"/>
      <c r="E518" s="18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2.75" customHeight="1" x14ac:dyDescent="0.3">
      <c r="A519" s="9"/>
      <c r="B519" s="9"/>
      <c r="C519" s="24"/>
      <c r="D519" s="9"/>
      <c r="E519" s="18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2.75" customHeight="1" x14ac:dyDescent="0.3">
      <c r="A520" s="9"/>
      <c r="B520" s="9"/>
      <c r="C520" s="24"/>
      <c r="D520" s="9"/>
      <c r="E520" s="18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2.75" customHeight="1" x14ac:dyDescent="0.3">
      <c r="A521" s="9"/>
      <c r="B521" s="9"/>
      <c r="C521" s="24"/>
      <c r="D521" s="9"/>
      <c r="E521" s="18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2.75" customHeight="1" x14ac:dyDescent="0.3">
      <c r="A522" s="9"/>
      <c r="B522" s="9"/>
      <c r="C522" s="24"/>
      <c r="D522" s="9"/>
      <c r="E522" s="18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2.75" customHeight="1" x14ac:dyDescent="0.3">
      <c r="A523" s="9"/>
      <c r="B523" s="9"/>
      <c r="C523" s="24"/>
      <c r="D523" s="9"/>
      <c r="E523" s="18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2.75" customHeight="1" x14ac:dyDescent="0.3">
      <c r="A524" s="9"/>
      <c r="B524" s="9"/>
      <c r="C524" s="24"/>
      <c r="D524" s="9"/>
      <c r="E524" s="18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2.75" customHeight="1" x14ac:dyDescent="0.3">
      <c r="A525" s="9"/>
      <c r="B525" s="9"/>
      <c r="C525" s="24"/>
      <c r="D525" s="9"/>
      <c r="E525" s="18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2.75" customHeight="1" x14ac:dyDescent="0.3">
      <c r="A526" s="9"/>
      <c r="B526" s="9"/>
      <c r="C526" s="24"/>
      <c r="D526" s="9"/>
      <c r="E526" s="18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2.75" customHeight="1" x14ac:dyDescent="0.3">
      <c r="A527" s="9"/>
      <c r="B527" s="9"/>
      <c r="C527" s="24"/>
      <c r="D527" s="9"/>
      <c r="E527" s="18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2.75" customHeight="1" x14ac:dyDescent="0.3">
      <c r="A528" s="9"/>
      <c r="B528" s="9"/>
      <c r="C528" s="24"/>
      <c r="D528" s="9"/>
      <c r="E528" s="18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2.75" customHeight="1" x14ac:dyDescent="0.3">
      <c r="A529" s="9"/>
      <c r="B529" s="9"/>
      <c r="C529" s="24"/>
      <c r="D529" s="9"/>
      <c r="E529" s="18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2.75" customHeight="1" x14ac:dyDescent="0.3">
      <c r="A530" s="9"/>
      <c r="B530" s="9"/>
      <c r="C530" s="24"/>
      <c r="D530" s="9"/>
      <c r="E530" s="18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2.75" customHeight="1" x14ac:dyDescent="0.3">
      <c r="A531" s="9"/>
      <c r="B531" s="9"/>
      <c r="C531" s="24"/>
      <c r="D531" s="9"/>
      <c r="E531" s="18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2.75" customHeight="1" x14ac:dyDescent="0.3">
      <c r="A532" s="9"/>
      <c r="B532" s="9"/>
      <c r="C532" s="24"/>
      <c r="D532" s="9"/>
      <c r="E532" s="18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2.75" customHeight="1" x14ac:dyDescent="0.3">
      <c r="A533" s="9"/>
      <c r="B533" s="9"/>
      <c r="C533" s="24"/>
      <c r="D533" s="9"/>
      <c r="E533" s="18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2.75" customHeight="1" x14ac:dyDescent="0.3">
      <c r="A534" s="9"/>
      <c r="B534" s="9"/>
      <c r="C534" s="24"/>
      <c r="D534" s="9"/>
      <c r="E534" s="18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2.75" customHeight="1" x14ac:dyDescent="0.3">
      <c r="A535" s="9"/>
      <c r="B535" s="9"/>
      <c r="C535" s="24"/>
      <c r="D535" s="9"/>
      <c r="E535" s="18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2.75" customHeight="1" x14ac:dyDescent="0.3">
      <c r="A536" s="9"/>
      <c r="B536" s="9"/>
      <c r="C536" s="24"/>
      <c r="D536" s="9"/>
      <c r="E536" s="18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2.75" customHeight="1" x14ac:dyDescent="0.3">
      <c r="A537" s="9"/>
      <c r="B537" s="9"/>
      <c r="C537" s="24"/>
      <c r="D537" s="9"/>
      <c r="E537" s="18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2.75" customHeight="1" x14ac:dyDescent="0.3">
      <c r="A538" s="9"/>
      <c r="B538" s="9"/>
      <c r="C538" s="24"/>
      <c r="D538" s="9"/>
      <c r="E538" s="18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2.75" customHeight="1" x14ac:dyDescent="0.3">
      <c r="A539" s="9"/>
      <c r="B539" s="9"/>
      <c r="C539" s="24"/>
      <c r="D539" s="9"/>
      <c r="E539" s="18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2.75" customHeight="1" x14ac:dyDescent="0.3">
      <c r="A540" s="9"/>
      <c r="B540" s="9"/>
      <c r="C540" s="24"/>
      <c r="D540" s="9"/>
      <c r="E540" s="18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2.75" customHeight="1" x14ac:dyDescent="0.3">
      <c r="A541" s="9"/>
      <c r="B541" s="9"/>
      <c r="C541" s="24"/>
      <c r="D541" s="9"/>
      <c r="E541" s="18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2.75" customHeight="1" x14ac:dyDescent="0.3">
      <c r="A542" s="9"/>
      <c r="B542" s="9"/>
      <c r="C542" s="24"/>
      <c r="D542" s="9"/>
      <c r="E542" s="18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2.75" customHeight="1" x14ac:dyDescent="0.3">
      <c r="A543" s="9"/>
      <c r="B543" s="9"/>
      <c r="C543" s="24"/>
      <c r="D543" s="9"/>
      <c r="E543" s="18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2.75" customHeight="1" x14ac:dyDescent="0.3">
      <c r="A544" s="9"/>
      <c r="B544" s="9"/>
      <c r="C544" s="24"/>
      <c r="D544" s="9"/>
      <c r="E544" s="18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2.75" customHeight="1" x14ac:dyDescent="0.3">
      <c r="A545" s="9"/>
      <c r="B545" s="9"/>
      <c r="C545" s="24"/>
      <c r="D545" s="9"/>
      <c r="E545" s="18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2.75" customHeight="1" x14ac:dyDescent="0.3">
      <c r="A546" s="9"/>
      <c r="B546" s="9"/>
      <c r="C546" s="24"/>
      <c r="D546" s="9"/>
      <c r="E546" s="18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2.75" customHeight="1" x14ac:dyDescent="0.3">
      <c r="A547" s="9"/>
      <c r="B547" s="9"/>
      <c r="C547" s="24"/>
      <c r="D547" s="9"/>
      <c r="E547" s="18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2.75" customHeight="1" x14ac:dyDescent="0.3">
      <c r="A548" s="9"/>
      <c r="B548" s="9"/>
      <c r="C548" s="24"/>
      <c r="D548" s="9"/>
      <c r="E548" s="18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2.75" customHeight="1" x14ac:dyDescent="0.3">
      <c r="A549" s="9"/>
      <c r="B549" s="9"/>
      <c r="C549" s="24"/>
      <c r="D549" s="9"/>
      <c r="E549" s="18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2.75" customHeight="1" x14ac:dyDescent="0.3">
      <c r="A550" s="9"/>
      <c r="B550" s="9"/>
      <c r="C550" s="24"/>
      <c r="D550" s="9"/>
      <c r="E550" s="18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2.75" customHeight="1" x14ac:dyDescent="0.3">
      <c r="A551" s="9"/>
      <c r="B551" s="9"/>
      <c r="C551" s="24"/>
      <c r="D551" s="9"/>
      <c r="E551" s="18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2.75" customHeight="1" x14ac:dyDescent="0.3">
      <c r="A552" s="9"/>
      <c r="B552" s="9"/>
      <c r="C552" s="24"/>
      <c r="D552" s="9"/>
      <c r="E552" s="18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2.75" customHeight="1" x14ac:dyDescent="0.3">
      <c r="A553" s="9"/>
      <c r="B553" s="9"/>
      <c r="C553" s="24"/>
      <c r="D553" s="9"/>
      <c r="E553" s="18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2.75" customHeight="1" x14ac:dyDescent="0.3">
      <c r="A554" s="9"/>
      <c r="B554" s="9"/>
      <c r="C554" s="24"/>
      <c r="D554" s="9"/>
      <c r="E554" s="18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2.75" customHeight="1" x14ac:dyDescent="0.3">
      <c r="A555" s="9"/>
      <c r="B555" s="9"/>
      <c r="C555" s="24"/>
      <c r="D555" s="9"/>
      <c r="E555" s="18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2.75" customHeight="1" x14ac:dyDescent="0.3">
      <c r="A556" s="9"/>
      <c r="B556" s="9"/>
      <c r="C556" s="24"/>
      <c r="D556" s="9"/>
      <c r="E556" s="18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2.75" customHeight="1" x14ac:dyDescent="0.3">
      <c r="A557" s="9"/>
      <c r="B557" s="9"/>
      <c r="C557" s="24"/>
      <c r="D557" s="9"/>
      <c r="E557" s="18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2.75" customHeight="1" x14ac:dyDescent="0.3">
      <c r="A558" s="9"/>
      <c r="B558" s="9"/>
      <c r="C558" s="24"/>
      <c r="D558" s="9"/>
      <c r="E558" s="18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2.75" customHeight="1" x14ac:dyDescent="0.3">
      <c r="A559" s="9"/>
      <c r="B559" s="9"/>
      <c r="C559" s="24"/>
      <c r="D559" s="9"/>
      <c r="E559" s="18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2.75" customHeight="1" x14ac:dyDescent="0.3">
      <c r="A560" s="9"/>
      <c r="B560" s="9"/>
      <c r="C560" s="24"/>
      <c r="D560" s="9"/>
      <c r="E560" s="18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2.75" customHeight="1" x14ac:dyDescent="0.3">
      <c r="A561" s="9"/>
      <c r="B561" s="9"/>
      <c r="C561" s="24"/>
      <c r="D561" s="9"/>
      <c r="E561" s="18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2.75" customHeight="1" x14ac:dyDescent="0.3">
      <c r="A562" s="9"/>
      <c r="B562" s="9"/>
      <c r="C562" s="24"/>
      <c r="D562" s="9"/>
      <c r="E562" s="18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2.75" customHeight="1" x14ac:dyDescent="0.3">
      <c r="A563" s="9"/>
      <c r="B563" s="9"/>
      <c r="C563" s="24"/>
      <c r="D563" s="9"/>
      <c r="E563" s="18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2.75" customHeight="1" x14ac:dyDescent="0.3">
      <c r="A564" s="9"/>
      <c r="B564" s="9"/>
      <c r="C564" s="24"/>
      <c r="D564" s="9"/>
      <c r="E564" s="18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2.75" customHeight="1" x14ac:dyDescent="0.3">
      <c r="A565" s="9"/>
      <c r="B565" s="9"/>
      <c r="C565" s="24"/>
      <c r="D565" s="9"/>
      <c r="E565" s="18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2.75" customHeight="1" x14ac:dyDescent="0.3">
      <c r="A566" s="9"/>
      <c r="B566" s="9"/>
      <c r="C566" s="24"/>
      <c r="D566" s="9"/>
      <c r="E566" s="18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2.75" customHeight="1" x14ac:dyDescent="0.3">
      <c r="A567" s="9"/>
      <c r="B567" s="9"/>
      <c r="C567" s="24"/>
      <c r="D567" s="9"/>
      <c r="E567" s="18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2.75" customHeight="1" x14ac:dyDescent="0.3">
      <c r="A568" s="9"/>
      <c r="B568" s="9"/>
      <c r="C568" s="24"/>
      <c r="D568" s="9"/>
      <c r="E568" s="18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2.75" customHeight="1" x14ac:dyDescent="0.3">
      <c r="A569" s="9"/>
      <c r="B569" s="9"/>
      <c r="C569" s="24"/>
      <c r="D569" s="9"/>
      <c r="E569" s="18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2.75" customHeight="1" x14ac:dyDescent="0.3">
      <c r="A570" s="9"/>
      <c r="B570" s="9"/>
      <c r="C570" s="24"/>
      <c r="D570" s="9"/>
      <c r="E570" s="18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2.75" customHeight="1" x14ac:dyDescent="0.3">
      <c r="A571" s="9"/>
      <c r="B571" s="9"/>
      <c r="C571" s="24"/>
      <c r="D571" s="9"/>
      <c r="E571" s="18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2.75" customHeight="1" x14ac:dyDescent="0.3">
      <c r="A572" s="9"/>
      <c r="B572" s="9"/>
      <c r="C572" s="24"/>
      <c r="D572" s="9"/>
      <c r="E572" s="18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2.75" customHeight="1" x14ac:dyDescent="0.3">
      <c r="A573" s="9"/>
      <c r="B573" s="9"/>
      <c r="C573" s="24"/>
      <c r="D573" s="9"/>
      <c r="E573" s="18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2.75" customHeight="1" x14ac:dyDescent="0.3">
      <c r="A574" s="9"/>
      <c r="B574" s="9"/>
      <c r="C574" s="24"/>
      <c r="D574" s="9"/>
      <c r="E574" s="18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2.75" customHeight="1" x14ac:dyDescent="0.3">
      <c r="A575" s="9"/>
      <c r="B575" s="9"/>
      <c r="C575" s="24"/>
      <c r="D575" s="9"/>
      <c r="E575" s="18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2.75" customHeight="1" x14ac:dyDescent="0.3">
      <c r="A576" s="9"/>
      <c r="B576" s="9"/>
      <c r="C576" s="24"/>
      <c r="D576" s="9"/>
      <c r="E576" s="18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2.75" customHeight="1" x14ac:dyDescent="0.3">
      <c r="A577" s="9"/>
      <c r="B577" s="9"/>
      <c r="C577" s="24"/>
      <c r="D577" s="9"/>
      <c r="E577" s="18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2.75" customHeight="1" x14ac:dyDescent="0.3">
      <c r="A578" s="9"/>
      <c r="B578" s="9"/>
      <c r="C578" s="24"/>
      <c r="D578" s="9"/>
      <c r="E578" s="18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2.75" customHeight="1" x14ac:dyDescent="0.3">
      <c r="A579" s="9"/>
      <c r="B579" s="9"/>
      <c r="C579" s="24"/>
      <c r="D579" s="9"/>
      <c r="E579" s="18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2.75" customHeight="1" x14ac:dyDescent="0.3">
      <c r="A580" s="9"/>
      <c r="B580" s="9"/>
      <c r="C580" s="24"/>
      <c r="D580" s="9"/>
      <c r="E580" s="18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2.75" customHeight="1" x14ac:dyDescent="0.3">
      <c r="A581" s="9"/>
      <c r="B581" s="9"/>
      <c r="C581" s="24"/>
      <c r="D581" s="9"/>
      <c r="E581" s="18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2.75" customHeight="1" x14ac:dyDescent="0.3">
      <c r="A582" s="9"/>
      <c r="B582" s="9"/>
      <c r="C582" s="24"/>
      <c r="D582" s="9"/>
      <c r="E582" s="18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2.75" customHeight="1" x14ac:dyDescent="0.3">
      <c r="A583" s="9"/>
      <c r="B583" s="9"/>
      <c r="C583" s="24"/>
      <c r="D583" s="9"/>
      <c r="E583" s="18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2.75" customHeight="1" x14ac:dyDescent="0.3">
      <c r="A584" s="9"/>
      <c r="B584" s="9"/>
      <c r="C584" s="24"/>
      <c r="D584" s="9"/>
      <c r="E584" s="18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2.75" customHeight="1" x14ac:dyDescent="0.3">
      <c r="A585" s="9"/>
      <c r="B585" s="9"/>
      <c r="C585" s="24"/>
      <c r="D585" s="9"/>
      <c r="E585" s="18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2.75" customHeight="1" x14ac:dyDescent="0.3">
      <c r="A586" s="9"/>
      <c r="B586" s="9"/>
      <c r="C586" s="24"/>
      <c r="D586" s="9"/>
      <c r="E586" s="18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2.75" customHeight="1" x14ac:dyDescent="0.3">
      <c r="A587" s="9"/>
      <c r="B587" s="9"/>
      <c r="C587" s="24"/>
      <c r="D587" s="9"/>
      <c r="E587" s="18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2.75" customHeight="1" x14ac:dyDescent="0.3">
      <c r="A588" s="9"/>
      <c r="B588" s="9"/>
      <c r="C588" s="24"/>
      <c r="D588" s="9"/>
      <c r="E588" s="18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2.75" customHeight="1" x14ac:dyDescent="0.3">
      <c r="A589" s="9"/>
      <c r="B589" s="9"/>
      <c r="C589" s="24"/>
      <c r="D589" s="9"/>
      <c r="E589" s="18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2.75" customHeight="1" x14ac:dyDescent="0.3">
      <c r="A590" s="9"/>
      <c r="B590" s="9"/>
      <c r="C590" s="24"/>
      <c r="D590" s="9"/>
      <c r="E590" s="18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2.75" customHeight="1" x14ac:dyDescent="0.3">
      <c r="A591" s="9"/>
      <c r="B591" s="9"/>
      <c r="C591" s="24"/>
      <c r="D591" s="9"/>
      <c r="E591" s="18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2.75" customHeight="1" x14ac:dyDescent="0.3">
      <c r="A592" s="9"/>
      <c r="B592" s="9"/>
      <c r="C592" s="24"/>
      <c r="D592" s="9"/>
      <c r="E592" s="18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2.75" customHeight="1" x14ac:dyDescent="0.3">
      <c r="A593" s="9"/>
      <c r="B593" s="9"/>
      <c r="C593" s="24"/>
      <c r="D593" s="9"/>
      <c r="E593" s="18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2.75" customHeight="1" x14ac:dyDescent="0.3">
      <c r="A594" s="9"/>
      <c r="B594" s="9"/>
      <c r="C594" s="24"/>
      <c r="D594" s="9"/>
      <c r="E594" s="18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2.75" customHeight="1" x14ac:dyDescent="0.3">
      <c r="A595" s="9"/>
      <c r="B595" s="9"/>
      <c r="C595" s="24"/>
      <c r="D595" s="9"/>
      <c r="E595" s="18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2.75" customHeight="1" x14ac:dyDescent="0.3">
      <c r="A596" s="9"/>
      <c r="B596" s="9"/>
      <c r="C596" s="24"/>
      <c r="D596" s="9"/>
      <c r="E596" s="18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2.75" customHeight="1" x14ac:dyDescent="0.3">
      <c r="A597" s="9"/>
      <c r="B597" s="9"/>
      <c r="C597" s="24"/>
      <c r="D597" s="9"/>
      <c r="E597" s="18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2.75" customHeight="1" x14ac:dyDescent="0.3">
      <c r="A598" s="9"/>
      <c r="B598" s="9"/>
      <c r="C598" s="24"/>
      <c r="D598" s="9"/>
      <c r="E598" s="18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2.75" customHeight="1" x14ac:dyDescent="0.3">
      <c r="A599" s="9"/>
      <c r="B599" s="9"/>
      <c r="C599" s="24"/>
      <c r="D599" s="9"/>
      <c r="E599" s="18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2.75" customHeight="1" x14ac:dyDescent="0.3">
      <c r="A600" s="9"/>
      <c r="B600" s="9"/>
      <c r="C600" s="24"/>
      <c r="D600" s="9"/>
      <c r="E600" s="18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2.75" customHeight="1" x14ac:dyDescent="0.3">
      <c r="A601" s="9"/>
      <c r="B601" s="9"/>
      <c r="C601" s="24"/>
      <c r="D601" s="9"/>
      <c r="E601" s="18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2.75" customHeight="1" x14ac:dyDescent="0.3">
      <c r="A602" s="9"/>
      <c r="B602" s="9"/>
      <c r="C602" s="24"/>
      <c r="D602" s="9"/>
      <c r="E602" s="18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2.75" customHeight="1" x14ac:dyDescent="0.3">
      <c r="A603" s="9"/>
      <c r="B603" s="9"/>
      <c r="C603" s="24"/>
      <c r="D603" s="9"/>
      <c r="E603" s="18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2.75" customHeight="1" x14ac:dyDescent="0.3">
      <c r="A604" s="9"/>
      <c r="B604" s="9"/>
      <c r="C604" s="24"/>
      <c r="D604" s="9"/>
      <c r="E604" s="18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2.75" customHeight="1" x14ac:dyDescent="0.3">
      <c r="A605" s="9"/>
      <c r="B605" s="9"/>
      <c r="C605" s="24"/>
      <c r="D605" s="9"/>
      <c r="E605" s="18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2.75" customHeight="1" x14ac:dyDescent="0.3">
      <c r="A606" s="9"/>
      <c r="B606" s="9"/>
      <c r="C606" s="24"/>
      <c r="D606" s="9"/>
      <c r="E606" s="18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2.75" customHeight="1" x14ac:dyDescent="0.3">
      <c r="A607" s="9"/>
      <c r="B607" s="9"/>
      <c r="C607" s="24"/>
      <c r="D607" s="9"/>
      <c r="E607" s="18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2.75" customHeight="1" x14ac:dyDescent="0.3">
      <c r="A608" s="9"/>
      <c r="B608" s="9"/>
      <c r="C608" s="24"/>
      <c r="D608" s="9"/>
      <c r="E608" s="18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2.75" customHeight="1" x14ac:dyDescent="0.3">
      <c r="A609" s="9"/>
      <c r="B609" s="9"/>
      <c r="C609" s="24"/>
      <c r="D609" s="9"/>
      <c r="E609" s="18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2.75" customHeight="1" x14ac:dyDescent="0.3">
      <c r="A610" s="9"/>
      <c r="B610" s="9"/>
      <c r="C610" s="24"/>
      <c r="D610" s="9"/>
      <c r="E610" s="18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2.75" customHeight="1" x14ac:dyDescent="0.3">
      <c r="A611" s="9"/>
      <c r="B611" s="9"/>
      <c r="C611" s="24"/>
      <c r="D611" s="9"/>
      <c r="E611" s="18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2.75" customHeight="1" x14ac:dyDescent="0.3">
      <c r="A612" s="9"/>
      <c r="B612" s="9"/>
      <c r="C612" s="24"/>
      <c r="D612" s="9"/>
      <c r="E612" s="18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2.75" customHeight="1" x14ac:dyDescent="0.3">
      <c r="A613" s="9"/>
      <c r="B613" s="9"/>
      <c r="C613" s="24"/>
      <c r="D613" s="9"/>
      <c r="E613" s="18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2.75" customHeight="1" x14ac:dyDescent="0.3">
      <c r="A614" s="9"/>
      <c r="B614" s="9"/>
      <c r="C614" s="24"/>
      <c r="D614" s="9"/>
      <c r="E614" s="18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2.75" customHeight="1" x14ac:dyDescent="0.3">
      <c r="A615" s="9"/>
      <c r="B615" s="9"/>
      <c r="C615" s="24"/>
      <c r="D615" s="9"/>
      <c r="E615" s="18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2.75" customHeight="1" x14ac:dyDescent="0.3">
      <c r="A616" s="9"/>
      <c r="B616" s="9"/>
      <c r="C616" s="24"/>
      <c r="D616" s="9"/>
      <c r="E616" s="18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2.75" customHeight="1" x14ac:dyDescent="0.3">
      <c r="A617" s="9"/>
      <c r="B617" s="9"/>
      <c r="C617" s="24"/>
      <c r="D617" s="9"/>
      <c r="E617" s="18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2.75" customHeight="1" x14ac:dyDescent="0.3">
      <c r="A618" s="9"/>
      <c r="B618" s="9"/>
      <c r="C618" s="24"/>
      <c r="D618" s="9"/>
      <c r="E618" s="18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2.75" customHeight="1" x14ac:dyDescent="0.3">
      <c r="A619" s="9"/>
      <c r="B619" s="9"/>
      <c r="C619" s="24"/>
      <c r="D619" s="9"/>
      <c r="E619" s="18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2.75" customHeight="1" x14ac:dyDescent="0.3">
      <c r="A620" s="9"/>
      <c r="B620" s="9"/>
      <c r="C620" s="24"/>
      <c r="D620" s="9"/>
      <c r="E620" s="18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2.75" customHeight="1" x14ac:dyDescent="0.3">
      <c r="A621" s="9"/>
      <c r="B621" s="9"/>
      <c r="C621" s="24"/>
      <c r="D621" s="9"/>
      <c r="E621" s="18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2.75" customHeight="1" x14ac:dyDescent="0.3">
      <c r="A622" s="9"/>
      <c r="B622" s="9"/>
      <c r="C622" s="24"/>
      <c r="D622" s="9"/>
      <c r="E622" s="18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2.75" customHeight="1" x14ac:dyDescent="0.3">
      <c r="A623" s="9"/>
      <c r="B623" s="9"/>
      <c r="C623" s="24"/>
      <c r="D623" s="9"/>
      <c r="E623" s="18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2.75" customHeight="1" x14ac:dyDescent="0.3">
      <c r="A624" s="9"/>
      <c r="B624" s="9"/>
      <c r="C624" s="24"/>
      <c r="D624" s="9"/>
      <c r="E624" s="18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2.75" customHeight="1" x14ac:dyDescent="0.3">
      <c r="A625" s="9"/>
      <c r="B625" s="9"/>
      <c r="C625" s="24"/>
      <c r="D625" s="9"/>
      <c r="E625" s="18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2.75" customHeight="1" x14ac:dyDescent="0.3">
      <c r="A626" s="9"/>
      <c r="B626" s="9"/>
      <c r="C626" s="24"/>
      <c r="D626" s="9"/>
      <c r="E626" s="18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2.75" customHeight="1" x14ac:dyDescent="0.3">
      <c r="A627" s="9"/>
      <c r="B627" s="9"/>
      <c r="C627" s="24"/>
      <c r="D627" s="9"/>
      <c r="E627" s="18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2.75" customHeight="1" x14ac:dyDescent="0.3">
      <c r="A628" s="9"/>
      <c r="B628" s="9"/>
      <c r="C628" s="24"/>
      <c r="D628" s="9"/>
      <c r="E628" s="18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2.75" customHeight="1" x14ac:dyDescent="0.3">
      <c r="A629" s="9"/>
      <c r="B629" s="9"/>
      <c r="C629" s="24"/>
      <c r="D629" s="9"/>
      <c r="E629" s="18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2.75" customHeight="1" x14ac:dyDescent="0.3">
      <c r="A630" s="9"/>
      <c r="B630" s="9"/>
      <c r="C630" s="24"/>
      <c r="D630" s="9"/>
      <c r="E630" s="18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2.75" customHeight="1" x14ac:dyDescent="0.3">
      <c r="A631" s="9"/>
      <c r="B631" s="9"/>
      <c r="C631" s="24"/>
      <c r="D631" s="9"/>
      <c r="E631" s="18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2.75" customHeight="1" x14ac:dyDescent="0.3">
      <c r="A632" s="9"/>
      <c r="B632" s="9"/>
      <c r="C632" s="24"/>
      <c r="D632" s="9"/>
      <c r="E632" s="18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2.75" customHeight="1" x14ac:dyDescent="0.3">
      <c r="A633" s="9"/>
      <c r="B633" s="9"/>
      <c r="C633" s="24"/>
      <c r="D633" s="9"/>
      <c r="E633" s="18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2.75" customHeight="1" x14ac:dyDescent="0.3">
      <c r="A634" s="9"/>
      <c r="B634" s="9"/>
      <c r="C634" s="24"/>
      <c r="D634" s="9"/>
      <c r="E634" s="18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2.75" customHeight="1" x14ac:dyDescent="0.3">
      <c r="A635" s="9"/>
      <c r="B635" s="9"/>
      <c r="C635" s="24"/>
      <c r="D635" s="9"/>
      <c r="E635" s="18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2.75" customHeight="1" x14ac:dyDescent="0.3">
      <c r="A636" s="9"/>
      <c r="B636" s="9"/>
      <c r="C636" s="24"/>
      <c r="D636" s="9"/>
      <c r="E636" s="18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2.75" customHeight="1" x14ac:dyDescent="0.3">
      <c r="A637" s="9"/>
      <c r="B637" s="9"/>
      <c r="C637" s="24"/>
      <c r="D637" s="9"/>
      <c r="E637" s="18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2.75" customHeight="1" x14ac:dyDescent="0.3">
      <c r="A638" s="9"/>
      <c r="B638" s="9"/>
      <c r="C638" s="24"/>
      <c r="D638" s="9"/>
      <c r="E638" s="18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2.75" customHeight="1" x14ac:dyDescent="0.3">
      <c r="A639" s="9"/>
      <c r="B639" s="9"/>
      <c r="C639" s="24"/>
      <c r="D639" s="9"/>
      <c r="E639" s="18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2.75" customHeight="1" x14ac:dyDescent="0.3">
      <c r="A640" s="9"/>
      <c r="B640" s="9"/>
      <c r="C640" s="24"/>
      <c r="D640" s="9"/>
      <c r="E640" s="18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2.75" customHeight="1" x14ac:dyDescent="0.3">
      <c r="A641" s="9"/>
      <c r="B641" s="9"/>
      <c r="C641" s="24"/>
      <c r="D641" s="9"/>
      <c r="E641" s="18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2.75" customHeight="1" x14ac:dyDescent="0.3">
      <c r="A642" s="9"/>
      <c r="B642" s="9"/>
      <c r="C642" s="24"/>
      <c r="D642" s="9"/>
      <c r="E642" s="18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2.75" customHeight="1" x14ac:dyDescent="0.3">
      <c r="A643" s="9"/>
      <c r="B643" s="9"/>
      <c r="C643" s="24"/>
      <c r="D643" s="9"/>
      <c r="E643" s="18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2.75" customHeight="1" x14ac:dyDescent="0.3">
      <c r="A644" s="9"/>
      <c r="B644" s="9"/>
      <c r="C644" s="24"/>
      <c r="D644" s="9"/>
      <c r="E644" s="18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2.75" customHeight="1" x14ac:dyDescent="0.3">
      <c r="A645" s="9"/>
      <c r="B645" s="9"/>
      <c r="C645" s="24"/>
      <c r="D645" s="9"/>
      <c r="E645" s="18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2.75" customHeight="1" x14ac:dyDescent="0.3">
      <c r="A646" s="9"/>
      <c r="B646" s="9"/>
      <c r="C646" s="24"/>
      <c r="D646" s="9"/>
      <c r="E646" s="18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2.75" customHeight="1" x14ac:dyDescent="0.3">
      <c r="A647" s="9"/>
      <c r="B647" s="9"/>
      <c r="C647" s="24"/>
      <c r="D647" s="9"/>
      <c r="E647" s="18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2.75" customHeight="1" x14ac:dyDescent="0.3">
      <c r="A648" s="9"/>
      <c r="B648" s="9"/>
      <c r="C648" s="24"/>
      <c r="D648" s="9"/>
      <c r="E648" s="18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2.75" customHeight="1" x14ac:dyDescent="0.3">
      <c r="A649" s="9"/>
      <c r="B649" s="9"/>
      <c r="C649" s="24"/>
      <c r="D649" s="9"/>
      <c r="E649" s="18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2.75" customHeight="1" x14ac:dyDescent="0.3">
      <c r="A650" s="9"/>
      <c r="B650" s="9"/>
      <c r="C650" s="24"/>
      <c r="D650" s="9"/>
      <c r="E650" s="18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2.75" customHeight="1" x14ac:dyDescent="0.3">
      <c r="A651" s="9"/>
      <c r="B651" s="9"/>
      <c r="C651" s="24"/>
      <c r="D651" s="9"/>
      <c r="E651" s="18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2.75" customHeight="1" x14ac:dyDescent="0.3">
      <c r="A652" s="9"/>
      <c r="B652" s="9"/>
      <c r="C652" s="24"/>
      <c r="D652" s="9"/>
      <c r="E652" s="18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2.75" customHeight="1" x14ac:dyDescent="0.3">
      <c r="A653" s="9"/>
      <c r="B653" s="9"/>
      <c r="C653" s="24"/>
      <c r="D653" s="9"/>
      <c r="E653" s="18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2.75" customHeight="1" x14ac:dyDescent="0.3">
      <c r="A654" s="9"/>
      <c r="B654" s="9"/>
      <c r="C654" s="24"/>
      <c r="D654" s="9"/>
      <c r="E654" s="18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2.75" customHeight="1" x14ac:dyDescent="0.3">
      <c r="A655" s="9"/>
      <c r="B655" s="9"/>
      <c r="C655" s="24"/>
      <c r="D655" s="9"/>
      <c r="E655" s="18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2.75" customHeight="1" x14ac:dyDescent="0.3">
      <c r="A656" s="9"/>
      <c r="B656" s="9"/>
      <c r="C656" s="24"/>
      <c r="D656" s="9"/>
      <c r="E656" s="18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2.75" customHeight="1" x14ac:dyDescent="0.3">
      <c r="A657" s="9"/>
      <c r="B657" s="9"/>
      <c r="C657" s="24"/>
      <c r="D657" s="9"/>
      <c r="E657" s="18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2.75" customHeight="1" x14ac:dyDescent="0.3">
      <c r="A658" s="9"/>
      <c r="B658" s="9"/>
      <c r="C658" s="24"/>
      <c r="D658" s="9"/>
      <c r="E658" s="18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2.75" customHeight="1" x14ac:dyDescent="0.3">
      <c r="A659" s="9"/>
      <c r="B659" s="9"/>
      <c r="C659" s="24"/>
      <c r="D659" s="9"/>
      <c r="E659" s="18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2.75" customHeight="1" x14ac:dyDescent="0.3">
      <c r="A660" s="9"/>
      <c r="B660" s="9"/>
      <c r="C660" s="24"/>
      <c r="D660" s="9"/>
      <c r="E660" s="18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2.75" customHeight="1" x14ac:dyDescent="0.3">
      <c r="A661" s="9"/>
      <c r="B661" s="9"/>
      <c r="C661" s="24"/>
      <c r="D661" s="9"/>
      <c r="E661" s="18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2.75" customHeight="1" x14ac:dyDescent="0.3">
      <c r="A662" s="9"/>
      <c r="B662" s="9"/>
      <c r="C662" s="24"/>
      <c r="D662" s="9"/>
      <c r="E662" s="18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2.75" customHeight="1" x14ac:dyDescent="0.3">
      <c r="A663" s="9"/>
      <c r="B663" s="9"/>
      <c r="C663" s="24"/>
      <c r="D663" s="9"/>
      <c r="E663" s="18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2.75" customHeight="1" x14ac:dyDescent="0.3">
      <c r="A664" s="9"/>
      <c r="B664" s="9"/>
      <c r="C664" s="24"/>
      <c r="D664" s="9"/>
      <c r="E664" s="18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2.75" customHeight="1" x14ac:dyDescent="0.3">
      <c r="A665" s="9"/>
      <c r="B665" s="9"/>
      <c r="C665" s="24"/>
      <c r="D665" s="9"/>
      <c r="E665" s="18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2.75" customHeight="1" x14ac:dyDescent="0.3">
      <c r="A666" s="9"/>
      <c r="B666" s="9"/>
      <c r="C666" s="24"/>
      <c r="D666" s="9"/>
      <c r="E666" s="18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2.75" customHeight="1" x14ac:dyDescent="0.3">
      <c r="A667" s="9"/>
      <c r="B667" s="9"/>
      <c r="C667" s="24"/>
      <c r="D667" s="9"/>
      <c r="E667" s="18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2.75" customHeight="1" x14ac:dyDescent="0.3">
      <c r="A668" s="9"/>
      <c r="B668" s="9"/>
      <c r="C668" s="24"/>
      <c r="D668" s="9"/>
      <c r="E668" s="18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2.75" customHeight="1" x14ac:dyDescent="0.3">
      <c r="A669" s="9"/>
      <c r="B669" s="9"/>
      <c r="C669" s="24"/>
      <c r="D669" s="9"/>
      <c r="E669" s="18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2.75" customHeight="1" x14ac:dyDescent="0.3">
      <c r="A670" s="9"/>
      <c r="B670" s="9"/>
      <c r="C670" s="24"/>
      <c r="D670" s="9"/>
      <c r="E670" s="18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2.75" customHeight="1" x14ac:dyDescent="0.3">
      <c r="A671" s="9"/>
      <c r="B671" s="9"/>
      <c r="C671" s="24"/>
      <c r="D671" s="9"/>
      <c r="E671" s="18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2.75" customHeight="1" x14ac:dyDescent="0.3">
      <c r="A672" s="9"/>
      <c r="B672" s="9"/>
      <c r="C672" s="24"/>
      <c r="D672" s="9"/>
      <c r="E672" s="18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2.75" customHeight="1" x14ac:dyDescent="0.3">
      <c r="A673" s="9"/>
      <c r="B673" s="9"/>
      <c r="C673" s="24"/>
      <c r="D673" s="9"/>
      <c r="E673" s="18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2.75" customHeight="1" x14ac:dyDescent="0.3">
      <c r="A674" s="9"/>
      <c r="B674" s="9"/>
      <c r="C674" s="24"/>
      <c r="D674" s="9"/>
      <c r="E674" s="18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2.75" customHeight="1" x14ac:dyDescent="0.3">
      <c r="A675" s="9"/>
      <c r="B675" s="9"/>
      <c r="C675" s="24"/>
      <c r="D675" s="9"/>
      <c r="E675" s="18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2.75" customHeight="1" x14ac:dyDescent="0.3">
      <c r="A676" s="9"/>
      <c r="B676" s="9"/>
      <c r="C676" s="24"/>
      <c r="D676" s="9"/>
      <c r="E676" s="18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2.75" customHeight="1" x14ac:dyDescent="0.3">
      <c r="A677" s="9"/>
      <c r="B677" s="9"/>
      <c r="C677" s="24"/>
      <c r="D677" s="9"/>
      <c r="E677" s="18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2.75" customHeight="1" x14ac:dyDescent="0.3">
      <c r="A678" s="9"/>
      <c r="B678" s="9"/>
      <c r="C678" s="24"/>
      <c r="D678" s="9"/>
      <c r="E678" s="18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2.75" customHeight="1" x14ac:dyDescent="0.3">
      <c r="A679" s="9"/>
      <c r="B679" s="9"/>
      <c r="C679" s="24"/>
      <c r="D679" s="9"/>
      <c r="E679" s="18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2.75" customHeight="1" x14ac:dyDescent="0.3">
      <c r="A680" s="9"/>
      <c r="B680" s="9"/>
      <c r="C680" s="24"/>
      <c r="D680" s="9"/>
      <c r="E680" s="18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2.75" customHeight="1" x14ac:dyDescent="0.3">
      <c r="A681" s="9"/>
      <c r="B681" s="9"/>
      <c r="C681" s="24"/>
      <c r="D681" s="9"/>
      <c r="E681" s="18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2.75" customHeight="1" x14ac:dyDescent="0.3">
      <c r="A682" s="9"/>
      <c r="B682" s="9"/>
      <c r="C682" s="24"/>
      <c r="D682" s="9"/>
      <c r="E682" s="18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2.75" customHeight="1" x14ac:dyDescent="0.3">
      <c r="A683" s="9"/>
      <c r="B683" s="9"/>
      <c r="C683" s="24"/>
      <c r="D683" s="9"/>
      <c r="E683" s="18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2.75" customHeight="1" x14ac:dyDescent="0.3">
      <c r="A684" s="9"/>
      <c r="B684" s="9"/>
      <c r="C684" s="24"/>
      <c r="D684" s="9"/>
      <c r="E684" s="18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2.75" customHeight="1" x14ac:dyDescent="0.3">
      <c r="A685" s="9"/>
      <c r="B685" s="9"/>
      <c r="C685" s="24"/>
      <c r="D685" s="9"/>
      <c r="E685" s="18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2.75" customHeight="1" x14ac:dyDescent="0.3">
      <c r="A686" s="9"/>
      <c r="B686" s="9"/>
      <c r="C686" s="24"/>
      <c r="D686" s="9"/>
      <c r="E686" s="18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2.75" customHeight="1" x14ac:dyDescent="0.3">
      <c r="A687" s="9"/>
      <c r="B687" s="9"/>
      <c r="C687" s="24"/>
      <c r="D687" s="9"/>
      <c r="E687" s="18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2.75" customHeight="1" x14ac:dyDescent="0.3">
      <c r="A688" s="9"/>
      <c r="B688" s="9"/>
      <c r="C688" s="24"/>
      <c r="D688" s="9"/>
      <c r="E688" s="18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2.75" customHeight="1" x14ac:dyDescent="0.3">
      <c r="A689" s="9"/>
      <c r="B689" s="9"/>
      <c r="C689" s="24"/>
      <c r="D689" s="9"/>
      <c r="E689" s="18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2.75" customHeight="1" x14ac:dyDescent="0.3">
      <c r="A690" s="9"/>
      <c r="B690" s="9"/>
      <c r="C690" s="24"/>
      <c r="D690" s="9"/>
      <c r="E690" s="18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2.75" customHeight="1" x14ac:dyDescent="0.3">
      <c r="A691" s="9"/>
      <c r="B691" s="9"/>
      <c r="C691" s="24"/>
      <c r="D691" s="9"/>
      <c r="E691" s="18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2.75" customHeight="1" x14ac:dyDescent="0.3">
      <c r="A692" s="9"/>
      <c r="B692" s="9"/>
      <c r="C692" s="24"/>
      <c r="D692" s="9"/>
      <c r="E692" s="18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2.75" customHeight="1" x14ac:dyDescent="0.3">
      <c r="A693" s="9"/>
      <c r="B693" s="9"/>
      <c r="C693" s="24"/>
      <c r="D693" s="9"/>
      <c r="E693" s="18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2.75" customHeight="1" x14ac:dyDescent="0.3">
      <c r="A694" s="9"/>
      <c r="B694" s="9"/>
      <c r="C694" s="24"/>
      <c r="D694" s="9"/>
      <c r="E694" s="18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2.75" customHeight="1" x14ac:dyDescent="0.3">
      <c r="A695" s="9"/>
      <c r="B695" s="9"/>
      <c r="C695" s="24"/>
      <c r="D695" s="9"/>
      <c r="E695" s="18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2.75" customHeight="1" x14ac:dyDescent="0.3">
      <c r="A696" s="9"/>
      <c r="B696" s="9"/>
      <c r="C696" s="24"/>
      <c r="D696" s="9"/>
      <c r="E696" s="18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2.75" customHeight="1" x14ac:dyDescent="0.3">
      <c r="A697" s="9"/>
      <c r="B697" s="9"/>
      <c r="C697" s="24"/>
      <c r="D697" s="9"/>
      <c r="E697" s="18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2.75" customHeight="1" x14ac:dyDescent="0.3">
      <c r="A698" s="9"/>
      <c r="B698" s="9"/>
      <c r="C698" s="24"/>
      <c r="D698" s="9"/>
      <c r="E698" s="18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2.75" customHeight="1" x14ac:dyDescent="0.3">
      <c r="A699" s="9"/>
      <c r="B699" s="9"/>
      <c r="C699" s="24"/>
      <c r="D699" s="9"/>
      <c r="E699" s="18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2.75" customHeight="1" x14ac:dyDescent="0.3">
      <c r="A700" s="9"/>
      <c r="B700" s="9"/>
      <c r="C700" s="24"/>
      <c r="D700" s="9"/>
      <c r="E700" s="18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2.75" customHeight="1" x14ac:dyDescent="0.3">
      <c r="A701" s="9"/>
      <c r="B701" s="9"/>
      <c r="C701" s="24"/>
      <c r="D701" s="9"/>
      <c r="E701" s="18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2.75" customHeight="1" x14ac:dyDescent="0.3">
      <c r="A702" s="9"/>
      <c r="B702" s="9"/>
      <c r="C702" s="24"/>
      <c r="D702" s="9"/>
      <c r="E702" s="18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2.75" customHeight="1" x14ac:dyDescent="0.3">
      <c r="A703" s="9"/>
      <c r="B703" s="9"/>
      <c r="C703" s="24"/>
      <c r="D703" s="9"/>
      <c r="E703" s="18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2.75" customHeight="1" x14ac:dyDescent="0.3">
      <c r="A704" s="9"/>
      <c r="B704" s="9"/>
      <c r="C704" s="24"/>
      <c r="D704" s="9"/>
      <c r="E704" s="18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2.75" customHeight="1" x14ac:dyDescent="0.3">
      <c r="A705" s="9"/>
      <c r="B705" s="9"/>
      <c r="C705" s="24"/>
      <c r="D705" s="9"/>
      <c r="E705" s="18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2.75" customHeight="1" x14ac:dyDescent="0.3">
      <c r="A706" s="9"/>
      <c r="B706" s="9"/>
      <c r="C706" s="24"/>
      <c r="D706" s="9"/>
      <c r="E706" s="18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2.75" customHeight="1" x14ac:dyDescent="0.3">
      <c r="A707" s="9"/>
      <c r="B707" s="9"/>
      <c r="C707" s="24"/>
      <c r="D707" s="9"/>
      <c r="E707" s="18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2.75" customHeight="1" x14ac:dyDescent="0.3">
      <c r="A708" s="9"/>
      <c r="B708" s="9"/>
      <c r="C708" s="24"/>
      <c r="D708" s="9"/>
      <c r="E708" s="18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2.75" customHeight="1" x14ac:dyDescent="0.3">
      <c r="A709" s="9"/>
      <c r="B709" s="9"/>
      <c r="C709" s="24"/>
      <c r="D709" s="9"/>
      <c r="E709" s="18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2.75" customHeight="1" x14ac:dyDescent="0.3">
      <c r="A710" s="9"/>
      <c r="B710" s="9"/>
      <c r="C710" s="24"/>
      <c r="D710" s="9"/>
      <c r="E710" s="18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2.75" customHeight="1" x14ac:dyDescent="0.3">
      <c r="A711" s="9"/>
      <c r="B711" s="9"/>
      <c r="C711" s="24"/>
      <c r="D711" s="9"/>
      <c r="E711" s="18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2.75" customHeight="1" x14ac:dyDescent="0.3">
      <c r="A712" s="9"/>
      <c r="B712" s="9"/>
      <c r="C712" s="24"/>
      <c r="D712" s="9"/>
      <c r="E712" s="18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2.75" customHeight="1" x14ac:dyDescent="0.3">
      <c r="A713" s="9"/>
      <c r="B713" s="9"/>
      <c r="C713" s="24"/>
      <c r="D713" s="9"/>
      <c r="E713" s="18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2.75" customHeight="1" x14ac:dyDescent="0.3">
      <c r="A714" s="9"/>
      <c r="B714" s="9"/>
      <c r="C714" s="24"/>
      <c r="D714" s="9"/>
      <c r="E714" s="18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2.75" customHeight="1" x14ac:dyDescent="0.3">
      <c r="A715" s="9"/>
      <c r="B715" s="9"/>
      <c r="C715" s="24"/>
      <c r="D715" s="9"/>
      <c r="E715" s="18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2.75" customHeight="1" x14ac:dyDescent="0.3">
      <c r="A716" s="9"/>
      <c r="B716" s="9"/>
      <c r="C716" s="24"/>
      <c r="D716" s="9"/>
      <c r="E716" s="18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2.75" customHeight="1" x14ac:dyDescent="0.3">
      <c r="A717" s="9"/>
      <c r="B717" s="9"/>
      <c r="C717" s="24"/>
      <c r="D717" s="9"/>
      <c r="E717" s="18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2.75" customHeight="1" x14ac:dyDescent="0.3">
      <c r="A718" s="9"/>
      <c r="B718" s="9"/>
      <c r="C718" s="24"/>
      <c r="D718" s="9"/>
      <c r="E718" s="18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2.75" customHeight="1" x14ac:dyDescent="0.3">
      <c r="A719" s="9"/>
      <c r="B719" s="9"/>
      <c r="C719" s="24"/>
      <c r="D719" s="9"/>
      <c r="E719" s="18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2.75" customHeight="1" x14ac:dyDescent="0.3">
      <c r="A720" s="9"/>
      <c r="B720" s="9"/>
      <c r="C720" s="24"/>
      <c r="D720" s="9"/>
      <c r="E720" s="18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2.75" customHeight="1" x14ac:dyDescent="0.3">
      <c r="A721" s="9"/>
      <c r="B721" s="9"/>
      <c r="C721" s="24"/>
      <c r="D721" s="9"/>
      <c r="E721" s="18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2.75" customHeight="1" x14ac:dyDescent="0.3">
      <c r="A722" s="9"/>
      <c r="B722" s="9"/>
      <c r="C722" s="24"/>
      <c r="D722" s="9"/>
      <c r="E722" s="18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2.75" customHeight="1" x14ac:dyDescent="0.3">
      <c r="A723" s="9"/>
      <c r="B723" s="9"/>
      <c r="C723" s="24"/>
      <c r="D723" s="9"/>
      <c r="E723" s="18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2.75" customHeight="1" x14ac:dyDescent="0.3">
      <c r="A724" s="9"/>
      <c r="B724" s="9"/>
      <c r="C724" s="24"/>
      <c r="D724" s="9"/>
      <c r="E724" s="18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2.75" customHeight="1" x14ac:dyDescent="0.3">
      <c r="A725" s="9"/>
      <c r="B725" s="9"/>
      <c r="C725" s="24"/>
      <c r="D725" s="9"/>
      <c r="E725" s="18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2.75" customHeight="1" x14ac:dyDescent="0.3">
      <c r="A726" s="9"/>
      <c r="B726" s="9"/>
      <c r="C726" s="24"/>
      <c r="D726" s="9"/>
      <c r="E726" s="18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2.75" customHeight="1" x14ac:dyDescent="0.3">
      <c r="A727" s="9"/>
      <c r="B727" s="9"/>
      <c r="C727" s="24"/>
      <c r="D727" s="9"/>
      <c r="E727" s="18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2.75" customHeight="1" x14ac:dyDescent="0.3">
      <c r="A728" s="9"/>
      <c r="B728" s="9"/>
      <c r="C728" s="24"/>
      <c r="D728" s="9"/>
      <c r="E728" s="18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2.75" customHeight="1" x14ac:dyDescent="0.3">
      <c r="A729" s="9"/>
      <c r="B729" s="9"/>
      <c r="C729" s="24"/>
      <c r="D729" s="9"/>
      <c r="E729" s="18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2.75" customHeight="1" x14ac:dyDescent="0.3">
      <c r="A730" s="9"/>
      <c r="B730" s="9"/>
      <c r="C730" s="24"/>
      <c r="D730" s="9"/>
      <c r="E730" s="18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2.75" customHeight="1" x14ac:dyDescent="0.3">
      <c r="A731" s="9"/>
      <c r="B731" s="9"/>
      <c r="C731" s="24"/>
      <c r="D731" s="9"/>
      <c r="E731" s="18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2.75" customHeight="1" x14ac:dyDescent="0.3">
      <c r="A732" s="9"/>
      <c r="B732" s="9"/>
      <c r="C732" s="24"/>
      <c r="D732" s="9"/>
      <c r="E732" s="18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2.75" customHeight="1" x14ac:dyDescent="0.3">
      <c r="A733" s="9"/>
      <c r="B733" s="9"/>
      <c r="C733" s="24"/>
      <c r="D733" s="9"/>
      <c r="E733" s="18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2.75" customHeight="1" x14ac:dyDescent="0.3">
      <c r="A734" s="9"/>
      <c r="B734" s="9"/>
      <c r="C734" s="24"/>
      <c r="D734" s="9"/>
      <c r="E734" s="18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2.75" customHeight="1" x14ac:dyDescent="0.3">
      <c r="A735" s="9"/>
      <c r="B735" s="9"/>
      <c r="C735" s="24"/>
      <c r="D735" s="9"/>
      <c r="E735" s="18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2.75" customHeight="1" x14ac:dyDescent="0.3">
      <c r="A736" s="9"/>
      <c r="B736" s="9"/>
      <c r="C736" s="24"/>
      <c r="D736" s="9"/>
      <c r="E736" s="18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2.75" customHeight="1" x14ac:dyDescent="0.3">
      <c r="A737" s="9"/>
      <c r="B737" s="9"/>
      <c r="C737" s="24"/>
      <c r="D737" s="9"/>
      <c r="E737" s="18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2.75" customHeight="1" x14ac:dyDescent="0.3">
      <c r="A738" s="9"/>
      <c r="B738" s="9"/>
      <c r="C738" s="24"/>
      <c r="D738" s="9"/>
      <c r="E738" s="18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2.75" customHeight="1" x14ac:dyDescent="0.3">
      <c r="A739" s="9"/>
      <c r="B739" s="9"/>
      <c r="C739" s="24"/>
      <c r="D739" s="9"/>
      <c r="E739" s="18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2.75" customHeight="1" x14ac:dyDescent="0.3">
      <c r="A740" s="9"/>
      <c r="B740" s="9"/>
      <c r="C740" s="24"/>
      <c r="D740" s="9"/>
      <c r="E740" s="18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2.75" customHeight="1" x14ac:dyDescent="0.3">
      <c r="A741" s="9"/>
      <c r="B741" s="9"/>
      <c r="C741" s="24"/>
      <c r="D741" s="9"/>
      <c r="E741" s="18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2.75" customHeight="1" x14ac:dyDescent="0.3">
      <c r="A742" s="9"/>
      <c r="B742" s="9"/>
      <c r="C742" s="24"/>
      <c r="D742" s="9"/>
      <c r="E742" s="18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2.75" customHeight="1" x14ac:dyDescent="0.3">
      <c r="A743" s="9"/>
      <c r="B743" s="9"/>
      <c r="C743" s="24"/>
      <c r="D743" s="9"/>
      <c r="E743" s="18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2.75" customHeight="1" x14ac:dyDescent="0.3">
      <c r="A744" s="9"/>
      <c r="B744" s="9"/>
      <c r="C744" s="24"/>
      <c r="D744" s="9"/>
      <c r="E744" s="18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2.75" customHeight="1" x14ac:dyDescent="0.3">
      <c r="A745" s="9"/>
      <c r="B745" s="9"/>
      <c r="C745" s="24"/>
      <c r="D745" s="9"/>
      <c r="E745" s="18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2.75" customHeight="1" x14ac:dyDescent="0.3">
      <c r="A746" s="9"/>
      <c r="B746" s="9"/>
      <c r="C746" s="24"/>
      <c r="D746" s="9"/>
      <c r="E746" s="18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2.75" customHeight="1" x14ac:dyDescent="0.3">
      <c r="A747" s="9"/>
      <c r="B747" s="9"/>
      <c r="C747" s="24"/>
      <c r="D747" s="9"/>
      <c r="E747" s="18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2.75" customHeight="1" x14ac:dyDescent="0.3">
      <c r="A748" s="9"/>
      <c r="B748" s="9"/>
      <c r="C748" s="24"/>
      <c r="D748" s="9"/>
      <c r="E748" s="18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2.75" customHeight="1" x14ac:dyDescent="0.3">
      <c r="A749" s="9"/>
      <c r="B749" s="9"/>
      <c r="C749" s="24"/>
      <c r="D749" s="9"/>
      <c r="E749" s="18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2.75" customHeight="1" x14ac:dyDescent="0.3">
      <c r="A750" s="9"/>
      <c r="B750" s="9"/>
      <c r="C750" s="24"/>
      <c r="D750" s="9"/>
      <c r="E750" s="18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2.75" customHeight="1" x14ac:dyDescent="0.3">
      <c r="A751" s="9"/>
      <c r="B751" s="9"/>
      <c r="C751" s="24"/>
      <c r="D751" s="9"/>
      <c r="E751" s="18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2.75" customHeight="1" x14ac:dyDescent="0.3">
      <c r="A752" s="9"/>
      <c r="B752" s="9"/>
      <c r="C752" s="24"/>
      <c r="D752" s="9"/>
      <c r="E752" s="18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2.75" customHeight="1" x14ac:dyDescent="0.3">
      <c r="A753" s="9"/>
      <c r="B753" s="9"/>
      <c r="C753" s="24"/>
      <c r="D753" s="9"/>
      <c r="E753" s="18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2.75" customHeight="1" x14ac:dyDescent="0.3">
      <c r="A754" s="9"/>
      <c r="B754" s="9"/>
      <c r="C754" s="24"/>
      <c r="D754" s="9"/>
      <c r="E754" s="18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2.75" customHeight="1" x14ac:dyDescent="0.3">
      <c r="A755" s="9"/>
      <c r="B755" s="9"/>
      <c r="C755" s="24"/>
      <c r="D755" s="9"/>
      <c r="E755" s="18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2.75" customHeight="1" x14ac:dyDescent="0.3">
      <c r="A756" s="9"/>
      <c r="B756" s="9"/>
      <c r="C756" s="24"/>
      <c r="D756" s="9"/>
      <c r="E756" s="18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2.75" customHeight="1" x14ac:dyDescent="0.3">
      <c r="A757" s="9"/>
      <c r="B757" s="9"/>
      <c r="C757" s="24"/>
      <c r="D757" s="9"/>
      <c r="E757" s="18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2.75" customHeight="1" x14ac:dyDescent="0.3">
      <c r="A758" s="9"/>
      <c r="B758" s="9"/>
      <c r="C758" s="24"/>
      <c r="D758" s="9"/>
      <c r="E758" s="18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2.75" customHeight="1" x14ac:dyDescent="0.3">
      <c r="A759" s="9"/>
      <c r="B759" s="9"/>
      <c r="C759" s="24"/>
      <c r="D759" s="9"/>
      <c r="E759" s="18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2.75" customHeight="1" x14ac:dyDescent="0.3">
      <c r="A760" s="9"/>
      <c r="B760" s="9"/>
      <c r="C760" s="24"/>
      <c r="D760" s="9"/>
      <c r="E760" s="18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2.75" customHeight="1" x14ac:dyDescent="0.3">
      <c r="A761" s="9"/>
      <c r="B761" s="9"/>
      <c r="C761" s="24"/>
      <c r="D761" s="9"/>
      <c r="E761" s="18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2.75" customHeight="1" x14ac:dyDescent="0.3">
      <c r="A762" s="9"/>
      <c r="B762" s="9"/>
      <c r="C762" s="24"/>
      <c r="D762" s="9"/>
      <c r="E762" s="18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2.75" customHeight="1" x14ac:dyDescent="0.3">
      <c r="A763" s="9"/>
      <c r="B763" s="9"/>
      <c r="C763" s="24"/>
      <c r="D763" s="9"/>
      <c r="E763" s="18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2.75" customHeight="1" x14ac:dyDescent="0.3">
      <c r="A764" s="9"/>
      <c r="B764" s="9"/>
      <c r="C764" s="24"/>
      <c r="D764" s="9"/>
      <c r="E764" s="18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2.75" customHeight="1" x14ac:dyDescent="0.3">
      <c r="A765" s="9"/>
      <c r="B765" s="9"/>
      <c r="C765" s="24"/>
      <c r="D765" s="9"/>
      <c r="E765" s="18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2.75" customHeight="1" x14ac:dyDescent="0.3">
      <c r="A766" s="9"/>
      <c r="B766" s="9"/>
      <c r="C766" s="24"/>
      <c r="D766" s="9"/>
      <c r="E766" s="18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2.75" customHeight="1" x14ac:dyDescent="0.3">
      <c r="A767" s="9"/>
      <c r="B767" s="9"/>
      <c r="C767" s="24"/>
      <c r="D767" s="9"/>
      <c r="E767" s="18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2.75" customHeight="1" x14ac:dyDescent="0.3">
      <c r="A768" s="9"/>
      <c r="B768" s="9"/>
      <c r="C768" s="24"/>
      <c r="D768" s="9"/>
      <c r="E768" s="18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2.75" customHeight="1" x14ac:dyDescent="0.3">
      <c r="A769" s="9"/>
      <c r="B769" s="9"/>
      <c r="C769" s="24"/>
      <c r="D769" s="9"/>
      <c r="E769" s="18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2.75" customHeight="1" x14ac:dyDescent="0.3">
      <c r="A770" s="9"/>
      <c r="B770" s="9"/>
      <c r="C770" s="24"/>
      <c r="D770" s="9"/>
      <c r="E770" s="18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2.75" customHeight="1" x14ac:dyDescent="0.3">
      <c r="A771" s="9"/>
      <c r="B771" s="9"/>
      <c r="C771" s="24"/>
      <c r="D771" s="9"/>
      <c r="E771" s="18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2.75" customHeight="1" x14ac:dyDescent="0.3">
      <c r="A772" s="9"/>
      <c r="B772" s="9"/>
      <c r="C772" s="24"/>
      <c r="D772" s="9"/>
      <c r="E772" s="18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2.75" customHeight="1" x14ac:dyDescent="0.3">
      <c r="A773" s="9"/>
      <c r="B773" s="9"/>
      <c r="C773" s="24"/>
      <c r="D773" s="9"/>
      <c r="E773" s="18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2.75" customHeight="1" x14ac:dyDescent="0.3">
      <c r="A774" s="9"/>
      <c r="B774" s="9"/>
      <c r="C774" s="24"/>
      <c r="D774" s="9"/>
      <c r="E774" s="18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2.75" customHeight="1" x14ac:dyDescent="0.3">
      <c r="A775" s="9"/>
      <c r="B775" s="9"/>
      <c r="C775" s="24"/>
      <c r="D775" s="9"/>
      <c r="E775" s="18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2.75" customHeight="1" x14ac:dyDescent="0.3">
      <c r="A776" s="9"/>
      <c r="B776" s="9"/>
      <c r="C776" s="24"/>
      <c r="D776" s="9"/>
      <c r="E776" s="18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2.75" customHeight="1" x14ac:dyDescent="0.3">
      <c r="A777" s="9"/>
      <c r="B777" s="9"/>
      <c r="C777" s="24"/>
      <c r="D777" s="9"/>
      <c r="E777" s="18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2.75" customHeight="1" x14ac:dyDescent="0.3">
      <c r="A778" s="9"/>
      <c r="B778" s="9"/>
      <c r="C778" s="24"/>
      <c r="D778" s="9"/>
      <c r="E778" s="18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2.75" customHeight="1" x14ac:dyDescent="0.3">
      <c r="A779" s="9"/>
      <c r="B779" s="9"/>
      <c r="C779" s="24"/>
      <c r="D779" s="9"/>
      <c r="E779" s="18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2.75" customHeight="1" x14ac:dyDescent="0.3">
      <c r="A780" s="9"/>
      <c r="B780" s="9"/>
      <c r="C780" s="24"/>
      <c r="D780" s="9"/>
      <c r="E780" s="18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2.75" customHeight="1" x14ac:dyDescent="0.3">
      <c r="A781" s="9"/>
      <c r="B781" s="9"/>
      <c r="C781" s="24"/>
      <c r="D781" s="9"/>
      <c r="E781" s="18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2.75" customHeight="1" x14ac:dyDescent="0.3">
      <c r="A782" s="9"/>
      <c r="B782" s="9"/>
      <c r="C782" s="24"/>
      <c r="D782" s="9"/>
      <c r="E782" s="18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2.75" customHeight="1" x14ac:dyDescent="0.3">
      <c r="A783" s="9"/>
      <c r="B783" s="9"/>
      <c r="C783" s="24"/>
      <c r="D783" s="9"/>
      <c r="E783" s="18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2.75" customHeight="1" x14ac:dyDescent="0.3">
      <c r="A784" s="9"/>
      <c r="B784" s="9"/>
      <c r="C784" s="24"/>
      <c r="D784" s="9"/>
      <c r="E784" s="18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2.75" customHeight="1" x14ac:dyDescent="0.3">
      <c r="A785" s="9"/>
      <c r="B785" s="9"/>
      <c r="C785" s="24"/>
      <c r="D785" s="9"/>
      <c r="E785" s="18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2.75" customHeight="1" x14ac:dyDescent="0.3">
      <c r="A786" s="9"/>
      <c r="B786" s="9"/>
      <c r="C786" s="24"/>
      <c r="D786" s="9"/>
      <c r="E786" s="18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2.75" customHeight="1" x14ac:dyDescent="0.3">
      <c r="A787" s="9"/>
      <c r="B787" s="9"/>
      <c r="C787" s="24"/>
      <c r="D787" s="9"/>
      <c r="E787" s="18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2.75" customHeight="1" x14ac:dyDescent="0.3">
      <c r="A788" s="9"/>
      <c r="B788" s="9"/>
      <c r="C788" s="24"/>
      <c r="D788" s="9"/>
      <c r="E788" s="18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2.75" customHeight="1" x14ac:dyDescent="0.3">
      <c r="A789" s="9"/>
      <c r="B789" s="9"/>
      <c r="C789" s="24"/>
      <c r="D789" s="9"/>
      <c r="E789" s="18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2.75" customHeight="1" x14ac:dyDescent="0.3">
      <c r="A790" s="9"/>
      <c r="B790" s="9"/>
      <c r="C790" s="24"/>
      <c r="D790" s="9"/>
      <c r="E790" s="18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2.75" customHeight="1" x14ac:dyDescent="0.3">
      <c r="A791" s="9"/>
      <c r="B791" s="9"/>
      <c r="C791" s="24"/>
      <c r="D791" s="9"/>
      <c r="E791" s="18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2.75" customHeight="1" x14ac:dyDescent="0.3">
      <c r="A792" s="9"/>
      <c r="B792" s="9"/>
      <c r="C792" s="24"/>
      <c r="D792" s="9"/>
      <c r="E792" s="18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2.75" customHeight="1" x14ac:dyDescent="0.3">
      <c r="A793" s="9"/>
      <c r="B793" s="9"/>
      <c r="C793" s="24"/>
      <c r="D793" s="9"/>
      <c r="E793" s="18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2.75" customHeight="1" x14ac:dyDescent="0.3">
      <c r="A794" s="9"/>
      <c r="B794" s="9"/>
      <c r="C794" s="24"/>
      <c r="D794" s="9"/>
      <c r="E794" s="18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2.75" customHeight="1" x14ac:dyDescent="0.3">
      <c r="A795" s="9"/>
      <c r="B795" s="9"/>
      <c r="C795" s="24"/>
      <c r="D795" s="9"/>
      <c r="E795" s="18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2.75" customHeight="1" x14ac:dyDescent="0.3">
      <c r="A796" s="9"/>
      <c r="B796" s="9"/>
      <c r="C796" s="24"/>
      <c r="D796" s="9"/>
      <c r="E796" s="18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2.75" customHeight="1" x14ac:dyDescent="0.3">
      <c r="A797" s="9"/>
      <c r="B797" s="9"/>
      <c r="C797" s="24"/>
      <c r="D797" s="9"/>
      <c r="E797" s="18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2.75" customHeight="1" x14ac:dyDescent="0.3">
      <c r="A798" s="9"/>
      <c r="B798" s="9"/>
      <c r="C798" s="24"/>
      <c r="D798" s="9"/>
      <c r="E798" s="18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2.75" customHeight="1" x14ac:dyDescent="0.3">
      <c r="A799" s="9"/>
      <c r="B799" s="9"/>
      <c r="C799" s="24"/>
      <c r="D799" s="9"/>
      <c r="E799" s="18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2.75" customHeight="1" x14ac:dyDescent="0.3">
      <c r="A800" s="9"/>
      <c r="B800" s="9"/>
      <c r="C800" s="24"/>
      <c r="D800" s="9"/>
      <c r="E800" s="18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2.75" customHeight="1" x14ac:dyDescent="0.3">
      <c r="A801" s="9"/>
      <c r="B801" s="9"/>
      <c r="C801" s="24"/>
      <c r="D801" s="9"/>
      <c r="E801" s="18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2.75" customHeight="1" x14ac:dyDescent="0.3">
      <c r="A802" s="9"/>
      <c r="B802" s="9"/>
      <c r="C802" s="24"/>
      <c r="D802" s="9"/>
      <c r="E802" s="18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2.75" customHeight="1" x14ac:dyDescent="0.3">
      <c r="A803" s="9"/>
      <c r="B803" s="9"/>
      <c r="C803" s="24"/>
      <c r="D803" s="9"/>
      <c r="E803" s="18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2.75" customHeight="1" x14ac:dyDescent="0.3">
      <c r="A804" s="9"/>
      <c r="B804" s="9"/>
      <c r="C804" s="24"/>
      <c r="D804" s="9"/>
      <c r="E804" s="18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2.75" customHeight="1" x14ac:dyDescent="0.3">
      <c r="A805" s="9"/>
      <c r="B805" s="9"/>
      <c r="C805" s="24"/>
      <c r="D805" s="9"/>
      <c r="E805" s="18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2.75" customHeight="1" x14ac:dyDescent="0.3">
      <c r="A806" s="9"/>
      <c r="B806" s="9"/>
      <c r="C806" s="24"/>
      <c r="D806" s="9"/>
      <c r="E806" s="18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2.75" customHeight="1" x14ac:dyDescent="0.3">
      <c r="A807" s="9"/>
      <c r="B807" s="9"/>
      <c r="C807" s="24"/>
      <c r="D807" s="9"/>
      <c r="E807" s="18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2.75" customHeight="1" x14ac:dyDescent="0.3">
      <c r="A808" s="9"/>
      <c r="B808" s="9"/>
      <c r="C808" s="24"/>
      <c r="D808" s="9"/>
      <c r="E808" s="18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2.75" customHeight="1" x14ac:dyDescent="0.3">
      <c r="A809" s="9"/>
      <c r="B809" s="9"/>
      <c r="C809" s="24"/>
      <c r="D809" s="9"/>
      <c r="E809" s="18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2.75" customHeight="1" x14ac:dyDescent="0.3">
      <c r="A810" s="9"/>
      <c r="B810" s="9"/>
      <c r="C810" s="24"/>
      <c r="D810" s="9"/>
      <c r="E810" s="18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2.75" customHeight="1" x14ac:dyDescent="0.3">
      <c r="A811" s="9"/>
      <c r="B811" s="9"/>
      <c r="C811" s="24"/>
      <c r="D811" s="9"/>
      <c r="E811" s="18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2.75" customHeight="1" x14ac:dyDescent="0.3">
      <c r="A812" s="9"/>
      <c r="B812" s="9"/>
      <c r="C812" s="24"/>
      <c r="D812" s="9"/>
      <c r="E812" s="18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2.75" customHeight="1" x14ac:dyDescent="0.3">
      <c r="A813" s="9"/>
      <c r="B813" s="9"/>
      <c r="C813" s="24"/>
      <c r="D813" s="9"/>
      <c r="E813" s="18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2.75" customHeight="1" x14ac:dyDescent="0.3">
      <c r="A814" s="9"/>
      <c r="B814" s="9"/>
      <c r="C814" s="24"/>
      <c r="D814" s="9"/>
      <c r="E814" s="18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2.75" customHeight="1" x14ac:dyDescent="0.3">
      <c r="A815" s="9"/>
      <c r="B815" s="9"/>
      <c r="C815" s="24"/>
      <c r="D815" s="9"/>
      <c r="E815" s="18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2.75" customHeight="1" x14ac:dyDescent="0.3">
      <c r="A816" s="9"/>
      <c r="B816" s="9"/>
      <c r="C816" s="24"/>
      <c r="D816" s="9"/>
      <c r="E816" s="18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2.75" customHeight="1" x14ac:dyDescent="0.3">
      <c r="A817" s="9"/>
      <c r="B817" s="9"/>
      <c r="C817" s="24"/>
      <c r="D817" s="9"/>
      <c r="E817" s="18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2.75" customHeight="1" x14ac:dyDescent="0.3">
      <c r="A818" s="9"/>
      <c r="B818" s="9"/>
      <c r="C818" s="24"/>
      <c r="D818" s="9"/>
      <c r="E818" s="18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2.75" customHeight="1" x14ac:dyDescent="0.3">
      <c r="A819" s="9"/>
      <c r="B819" s="9"/>
      <c r="C819" s="24"/>
      <c r="D819" s="9"/>
      <c r="E819" s="18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2.75" customHeight="1" x14ac:dyDescent="0.3">
      <c r="A820" s="9"/>
      <c r="B820" s="9"/>
      <c r="C820" s="24"/>
      <c r="D820" s="9"/>
      <c r="E820" s="18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2.75" customHeight="1" x14ac:dyDescent="0.3">
      <c r="A821" s="9"/>
      <c r="B821" s="9"/>
      <c r="C821" s="24"/>
      <c r="D821" s="9"/>
      <c r="E821" s="18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2.75" customHeight="1" x14ac:dyDescent="0.3">
      <c r="A822" s="9"/>
      <c r="B822" s="9"/>
      <c r="C822" s="24"/>
      <c r="D822" s="9"/>
      <c r="E822" s="18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2.75" customHeight="1" x14ac:dyDescent="0.3">
      <c r="A823" s="9"/>
      <c r="B823" s="9"/>
      <c r="C823" s="24"/>
      <c r="D823" s="9"/>
      <c r="E823" s="18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2.75" customHeight="1" x14ac:dyDescent="0.3">
      <c r="A824" s="9"/>
      <c r="B824" s="9"/>
      <c r="C824" s="24"/>
      <c r="D824" s="9"/>
      <c r="E824" s="18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2.75" customHeight="1" x14ac:dyDescent="0.3">
      <c r="A825" s="9"/>
      <c r="B825" s="9"/>
      <c r="C825" s="24"/>
      <c r="D825" s="9"/>
      <c r="E825" s="18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2.75" customHeight="1" x14ac:dyDescent="0.3">
      <c r="A826" s="9"/>
      <c r="B826" s="9"/>
      <c r="C826" s="24"/>
      <c r="D826" s="9"/>
      <c r="E826" s="18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2.75" customHeight="1" x14ac:dyDescent="0.3">
      <c r="A827" s="9"/>
      <c r="B827" s="9"/>
      <c r="C827" s="24"/>
      <c r="D827" s="9"/>
      <c r="E827" s="18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2.75" customHeight="1" x14ac:dyDescent="0.3">
      <c r="A828" s="9"/>
      <c r="B828" s="9"/>
      <c r="C828" s="24"/>
      <c r="D828" s="9"/>
      <c r="E828" s="18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2.75" customHeight="1" x14ac:dyDescent="0.3">
      <c r="A829" s="9"/>
      <c r="B829" s="9"/>
      <c r="C829" s="24"/>
      <c r="D829" s="9"/>
      <c r="E829" s="18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2.75" customHeight="1" x14ac:dyDescent="0.3">
      <c r="A830" s="9"/>
      <c r="B830" s="9"/>
      <c r="C830" s="24"/>
      <c r="D830" s="9"/>
      <c r="E830" s="18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2.75" customHeight="1" x14ac:dyDescent="0.3">
      <c r="A831" s="9"/>
      <c r="B831" s="9"/>
      <c r="C831" s="24"/>
      <c r="D831" s="9"/>
      <c r="E831" s="18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2.75" customHeight="1" x14ac:dyDescent="0.3">
      <c r="A832" s="9"/>
      <c r="B832" s="9"/>
      <c r="C832" s="24"/>
      <c r="D832" s="9"/>
      <c r="E832" s="18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2.75" customHeight="1" x14ac:dyDescent="0.3">
      <c r="A833" s="9"/>
      <c r="B833" s="9"/>
      <c r="C833" s="24"/>
      <c r="D833" s="9"/>
      <c r="E833" s="18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2.75" customHeight="1" x14ac:dyDescent="0.3">
      <c r="A834" s="9"/>
      <c r="B834" s="9"/>
      <c r="C834" s="24"/>
      <c r="D834" s="9"/>
      <c r="E834" s="18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2.75" customHeight="1" x14ac:dyDescent="0.3">
      <c r="A835" s="9"/>
      <c r="B835" s="9"/>
      <c r="C835" s="24"/>
      <c r="D835" s="9"/>
      <c r="E835" s="18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2.75" customHeight="1" x14ac:dyDescent="0.3">
      <c r="A836" s="9"/>
      <c r="B836" s="9"/>
      <c r="C836" s="24"/>
      <c r="D836" s="9"/>
      <c r="E836" s="18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2.75" customHeight="1" x14ac:dyDescent="0.3">
      <c r="A837" s="9"/>
      <c r="B837" s="9"/>
      <c r="C837" s="24"/>
      <c r="D837" s="9"/>
      <c r="E837" s="18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2.75" customHeight="1" x14ac:dyDescent="0.3">
      <c r="A838" s="9"/>
      <c r="B838" s="9"/>
      <c r="C838" s="24"/>
      <c r="D838" s="9"/>
      <c r="E838" s="18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2.75" customHeight="1" x14ac:dyDescent="0.3">
      <c r="A839" s="9"/>
      <c r="B839" s="9"/>
      <c r="C839" s="24"/>
      <c r="D839" s="9"/>
      <c r="E839" s="18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2.75" customHeight="1" x14ac:dyDescent="0.3">
      <c r="A840" s="9"/>
      <c r="B840" s="9"/>
      <c r="C840" s="24"/>
      <c r="D840" s="9"/>
      <c r="E840" s="18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2.75" customHeight="1" x14ac:dyDescent="0.3">
      <c r="A841" s="9"/>
      <c r="B841" s="9"/>
      <c r="C841" s="24"/>
      <c r="D841" s="9"/>
      <c r="E841" s="18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2.75" customHeight="1" x14ac:dyDescent="0.3">
      <c r="A842" s="9"/>
      <c r="B842" s="9"/>
      <c r="C842" s="24"/>
      <c r="D842" s="9"/>
      <c r="E842" s="18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2.75" customHeight="1" x14ac:dyDescent="0.3">
      <c r="A843" s="9"/>
      <c r="B843" s="9"/>
      <c r="C843" s="24"/>
      <c r="D843" s="9"/>
      <c r="E843" s="18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2.75" customHeight="1" x14ac:dyDescent="0.3">
      <c r="A844" s="9"/>
      <c r="B844" s="9"/>
      <c r="C844" s="24"/>
      <c r="D844" s="9"/>
      <c r="E844" s="18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2.75" customHeight="1" x14ac:dyDescent="0.3">
      <c r="A845" s="9"/>
      <c r="B845" s="9"/>
      <c r="C845" s="24"/>
      <c r="D845" s="9"/>
      <c r="E845" s="18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2.75" customHeight="1" x14ac:dyDescent="0.3">
      <c r="A846" s="9"/>
      <c r="B846" s="9"/>
      <c r="C846" s="24"/>
      <c r="D846" s="9"/>
      <c r="E846" s="18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2.75" customHeight="1" x14ac:dyDescent="0.3">
      <c r="A847" s="9"/>
      <c r="B847" s="9"/>
      <c r="C847" s="24"/>
      <c r="D847" s="9"/>
      <c r="E847" s="18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2.75" customHeight="1" x14ac:dyDescent="0.3">
      <c r="A848" s="9"/>
      <c r="B848" s="9"/>
      <c r="C848" s="24"/>
      <c r="D848" s="9"/>
      <c r="E848" s="18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2.75" customHeight="1" x14ac:dyDescent="0.3">
      <c r="A849" s="9"/>
      <c r="B849" s="9"/>
      <c r="C849" s="24"/>
      <c r="D849" s="9"/>
      <c r="E849" s="18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2.75" customHeight="1" x14ac:dyDescent="0.3">
      <c r="A850" s="9"/>
      <c r="B850" s="9"/>
      <c r="C850" s="24"/>
      <c r="D850" s="9"/>
      <c r="E850" s="18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2.75" customHeight="1" x14ac:dyDescent="0.3">
      <c r="A851" s="9"/>
      <c r="B851" s="9"/>
      <c r="C851" s="24"/>
      <c r="D851" s="9"/>
      <c r="E851" s="18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2.75" customHeight="1" x14ac:dyDescent="0.3">
      <c r="A852" s="9"/>
      <c r="B852" s="9"/>
      <c r="C852" s="24"/>
      <c r="D852" s="9"/>
      <c r="E852" s="18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2.75" customHeight="1" x14ac:dyDescent="0.3">
      <c r="A853" s="9"/>
      <c r="B853" s="9"/>
      <c r="C853" s="24"/>
      <c r="D853" s="9"/>
      <c r="E853" s="18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2.75" customHeight="1" x14ac:dyDescent="0.3">
      <c r="A854" s="9"/>
      <c r="B854" s="9"/>
      <c r="C854" s="24"/>
      <c r="D854" s="9"/>
      <c r="E854" s="18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2.75" customHeight="1" x14ac:dyDescent="0.3">
      <c r="A855" s="9"/>
      <c r="B855" s="9"/>
      <c r="C855" s="24"/>
      <c r="D855" s="9"/>
      <c r="E855" s="18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2.75" customHeight="1" x14ac:dyDescent="0.3">
      <c r="A856" s="9"/>
      <c r="B856" s="9"/>
      <c r="C856" s="24"/>
      <c r="D856" s="9"/>
      <c r="E856" s="18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2.75" customHeight="1" x14ac:dyDescent="0.3">
      <c r="A857" s="9"/>
      <c r="B857" s="9"/>
      <c r="C857" s="24"/>
      <c r="D857" s="9"/>
      <c r="E857" s="18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2.75" customHeight="1" x14ac:dyDescent="0.3">
      <c r="A858" s="9"/>
      <c r="B858" s="9"/>
      <c r="C858" s="24"/>
      <c r="D858" s="9"/>
      <c r="E858" s="18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2.75" customHeight="1" x14ac:dyDescent="0.3">
      <c r="A859" s="9"/>
      <c r="B859" s="9"/>
      <c r="C859" s="24"/>
      <c r="D859" s="9"/>
      <c r="E859" s="18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2.75" customHeight="1" x14ac:dyDescent="0.3">
      <c r="A860" s="9"/>
      <c r="B860" s="9"/>
      <c r="C860" s="24"/>
      <c r="D860" s="9"/>
      <c r="E860" s="18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2.75" customHeight="1" x14ac:dyDescent="0.3">
      <c r="A861" s="9"/>
      <c r="B861" s="9"/>
      <c r="C861" s="24"/>
      <c r="D861" s="9"/>
      <c r="E861" s="18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2.75" customHeight="1" x14ac:dyDescent="0.3">
      <c r="A862" s="9"/>
      <c r="B862" s="9"/>
      <c r="C862" s="24"/>
      <c r="D862" s="9"/>
      <c r="E862" s="18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2.75" customHeight="1" x14ac:dyDescent="0.3">
      <c r="A863" s="9"/>
      <c r="B863" s="9"/>
      <c r="C863" s="24"/>
      <c r="D863" s="9"/>
      <c r="E863" s="18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2.75" customHeight="1" x14ac:dyDescent="0.3">
      <c r="A864" s="9"/>
      <c r="B864" s="9"/>
      <c r="C864" s="24"/>
      <c r="D864" s="9"/>
      <c r="E864" s="18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2.75" customHeight="1" x14ac:dyDescent="0.3">
      <c r="A865" s="9"/>
      <c r="B865" s="9"/>
      <c r="C865" s="24"/>
      <c r="D865" s="9"/>
      <c r="E865" s="18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2.75" customHeight="1" x14ac:dyDescent="0.3">
      <c r="A866" s="9"/>
      <c r="B866" s="9"/>
      <c r="C866" s="24"/>
      <c r="D866" s="9"/>
      <c r="E866" s="18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2.75" customHeight="1" x14ac:dyDescent="0.3">
      <c r="A867" s="9"/>
      <c r="B867" s="9"/>
      <c r="C867" s="24"/>
      <c r="D867" s="9"/>
      <c r="E867" s="18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2.75" customHeight="1" x14ac:dyDescent="0.3">
      <c r="A868" s="9"/>
      <c r="B868" s="9"/>
      <c r="C868" s="24"/>
      <c r="D868" s="9"/>
      <c r="E868" s="18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2.75" customHeight="1" x14ac:dyDescent="0.3">
      <c r="A869" s="9"/>
      <c r="B869" s="9"/>
      <c r="C869" s="24"/>
      <c r="D869" s="9"/>
      <c r="E869" s="18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2.75" customHeight="1" x14ac:dyDescent="0.3">
      <c r="A870" s="9"/>
      <c r="B870" s="9"/>
      <c r="C870" s="24"/>
      <c r="D870" s="9"/>
      <c r="E870" s="18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2.75" customHeight="1" x14ac:dyDescent="0.3">
      <c r="A871" s="9"/>
      <c r="B871" s="9"/>
      <c r="C871" s="24"/>
      <c r="D871" s="9"/>
      <c r="E871" s="18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2.75" customHeight="1" x14ac:dyDescent="0.3">
      <c r="A872" s="9"/>
      <c r="B872" s="9"/>
      <c r="C872" s="24"/>
      <c r="D872" s="9"/>
      <c r="E872" s="18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2.75" customHeight="1" x14ac:dyDescent="0.3">
      <c r="A873" s="9"/>
      <c r="B873" s="9"/>
      <c r="C873" s="24"/>
      <c r="D873" s="9"/>
      <c r="E873" s="18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2.75" customHeight="1" x14ac:dyDescent="0.3">
      <c r="A874" s="9"/>
      <c r="B874" s="9"/>
      <c r="C874" s="24"/>
      <c r="D874" s="9"/>
      <c r="E874" s="18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2.75" customHeight="1" x14ac:dyDescent="0.3">
      <c r="A875" s="9"/>
      <c r="B875" s="9"/>
      <c r="C875" s="24"/>
      <c r="D875" s="9"/>
      <c r="E875" s="18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2.75" customHeight="1" x14ac:dyDescent="0.3">
      <c r="A876" s="9"/>
      <c r="B876" s="9"/>
      <c r="C876" s="24"/>
      <c r="D876" s="9"/>
      <c r="E876" s="18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2.75" customHeight="1" x14ac:dyDescent="0.3">
      <c r="A877" s="9"/>
      <c r="B877" s="9"/>
      <c r="C877" s="24"/>
      <c r="D877" s="9"/>
      <c r="E877" s="18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2.75" customHeight="1" x14ac:dyDescent="0.3">
      <c r="A878" s="9"/>
      <c r="B878" s="9"/>
      <c r="C878" s="24"/>
      <c r="D878" s="9"/>
      <c r="E878" s="18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2.75" customHeight="1" x14ac:dyDescent="0.3">
      <c r="A879" s="9"/>
      <c r="B879" s="9"/>
      <c r="C879" s="24"/>
      <c r="D879" s="9"/>
      <c r="E879" s="18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2.75" customHeight="1" x14ac:dyDescent="0.3">
      <c r="A880" s="9"/>
      <c r="B880" s="9"/>
      <c r="C880" s="24"/>
      <c r="D880" s="9"/>
      <c r="E880" s="18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2.75" customHeight="1" x14ac:dyDescent="0.3">
      <c r="A881" s="9"/>
      <c r="B881" s="9"/>
      <c r="C881" s="24"/>
      <c r="D881" s="9"/>
      <c r="E881" s="18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2.75" customHeight="1" x14ac:dyDescent="0.3">
      <c r="A882" s="9"/>
      <c r="B882" s="9"/>
      <c r="C882" s="24"/>
      <c r="D882" s="9"/>
      <c r="E882" s="18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2.75" customHeight="1" x14ac:dyDescent="0.3">
      <c r="A883" s="9"/>
      <c r="B883" s="9"/>
      <c r="C883" s="24"/>
      <c r="D883" s="9"/>
      <c r="E883" s="18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2.75" customHeight="1" x14ac:dyDescent="0.3">
      <c r="A884" s="9"/>
      <c r="B884" s="9"/>
      <c r="C884" s="24"/>
      <c r="D884" s="9"/>
      <c r="E884" s="18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2.75" customHeight="1" x14ac:dyDescent="0.3">
      <c r="A885" s="9"/>
      <c r="B885" s="9"/>
      <c r="C885" s="24"/>
      <c r="D885" s="9"/>
      <c r="E885" s="18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2.75" customHeight="1" x14ac:dyDescent="0.3">
      <c r="A886" s="9"/>
      <c r="B886" s="9"/>
      <c r="C886" s="24"/>
      <c r="D886" s="9"/>
      <c r="E886" s="18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2.75" customHeight="1" x14ac:dyDescent="0.3">
      <c r="A887" s="9"/>
      <c r="B887" s="9"/>
      <c r="C887" s="24"/>
      <c r="D887" s="9"/>
      <c r="E887" s="18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2.75" customHeight="1" x14ac:dyDescent="0.3">
      <c r="A888" s="9"/>
      <c r="B888" s="9"/>
      <c r="C888" s="24"/>
      <c r="D888" s="9"/>
      <c r="E888" s="18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2.75" customHeight="1" x14ac:dyDescent="0.3">
      <c r="A889" s="9"/>
      <c r="B889" s="9"/>
      <c r="C889" s="24"/>
      <c r="D889" s="9"/>
      <c r="E889" s="18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2.75" customHeight="1" x14ac:dyDescent="0.3">
      <c r="A890" s="9"/>
      <c r="B890" s="9"/>
      <c r="C890" s="24"/>
      <c r="D890" s="9"/>
      <c r="E890" s="18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2.75" customHeight="1" x14ac:dyDescent="0.3">
      <c r="A891" s="9"/>
      <c r="B891" s="9"/>
      <c r="C891" s="24"/>
      <c r="D891" s="9"/>
      <c r="E891" s="18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2.75" customHeight="1" x14ac:dyDescent="0.3">
      <c r="A892" s="9"/>
      <c r="B892" s="9"/>
      <c r="C892" s="24"/>
      <c r="D892" s="9"/>
      <c r="E892" s="18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2.75" customHeight="1" x14ac:dyDescent="0.3">
      <c r="A893" s="9"/>
      <c r="B893" s="9"/>
      <c r="C893" s="24"/>
      <c r="D893" s="9"/>
      <c r="E893" s="18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2.75" customHeight="1" x14ac:dyDescent="0.3">
      <c r="A894" s="9"/>
      <c r="B894" s="9"/>
      <c r="C894" s="24"/>
      <c r="D894" s="9"/>
      <c r="E894" s="18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2.75" customHeight="1" x14ac:dyDescent="0.3">
      <c r="A895" s="9"/>
      <c r="B895" s="9"/>
      <c r="C895" s="24"/>
      <c r="D895" s="9"/>
      <c r="E895" s="18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2.75" customHeight="1" x14ac:dyDescent="0.3">
      <c r="A896" s="9"/>
      <c r="B896" s="9"/>
      <c r="C896" s="24"/>
      <c r="D896" s="9"/>
      <c r="E896" s="18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2.75" customHeight="1" x14ac:dyDescent="0.3">
      <c r="A897" s="9"/>
      <c r="B897" s="9"/>
      <c r="C897" s="24"/>
      <c r="D897" s="9"/>
      <c r="E897" s="18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2.75" customHeight="1" x14ac:dyDescent="0.3">
      <c r="A898" s="9"/>
      <c r="B898" s="9"/>
      <c r="C898" s="24"/>
      <c r="D898" s="9"/>
      <c r="E898" s="18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2.75" customHeight="1" x14ac:dyDescent="0.3">
      <c r="A899" s="9"/>
      <c r="B899" s="9"/>
      <c r="C899" s="24"/>
      <c r="D899" s="9"/>
      <c r="E899" s="18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2.75" customHeight="1" x14ac:dyDescent="0.3">
      <c r="A900" s="9"/>
      <c r="B900" s="9"/>
      <c r="C900" s="24"/>
      <c r="D900" s="9"/>
      <c r="E900" s="18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2.75" customHeight="1" x14ac:dyDescent="0.3">
      <c r="A901" s="9"/>
      <c r="B901" s="9"/>
      <c r="C901" s="24"/>
      <c r="D901" s="9"/>
      <c r="E901" s="18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2.75" customHeight="1" x14ac:dyDescent="0.3">
      <c r="A902" s="9"/>
      <c r="B902" s="9"/>
      <c r="C902" s="24"/>
      <c r="D902" s="9"/>
      <c r="E902" s="18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2.75" customHeight="1" x14ac:dyDescent="0.3">
      <c r="A903" s="9"/>
      <c r="B903" s="9"/>
      <c r="C903" s="24"/>
      <c r="D903" s="9"/>
      <c r="E903" s="18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2.75" customHeight="1" x14ac:dyDescent="0.3">
      <c r="A904" s="9"/>
      <c r="B904" s="9"/>
      <c r="C904" s="24"/>
      <c r="D904" s="9"/>
      <c r="E904" s="18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2.75" customHeight="1" x14ac:dyDescent="0.3">
      <c r="A905" s="9"/>
      <c r="B905" s="9"/>
      <c r="C905" s="24"/>
      <c r="D905" s="9"/>
      <c r="E905" s="18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2.75" customHeight="1" x14ac:dyDescent="0.3">
      <c r="A906" s="9"/>
      <c r="B906" s="9"/>
      <c r="C906" s="24"/>
      <c r="D906" s="9"/>
      <c r="E906" s="18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2.75" customHeight="1" x14ac:dyDescent="0.3">
      <c r="A907" s="9"/>
      <c r="B907" s="9"/>
      <c r="C907" s="24"/>
      <c r="D907" s="9"/>
      <c r="E907" s="18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2.75" customHeight="1" x14ac:dyDescent="0.3">
      <c r="A908" s="9"/>
      <c r="B908" s="9"/>
      <c r="C908" s="24"/>
      <c r="D908" s="9"/>
      <c r="E908" s="18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2.75" customHeight="1" x14ac:dyDescent="0.3">
      <c r="A909" s="9"/>
      <c r="B909" s="9"/>
      <c r="C909" s="24"/>
      <c r="D909" s="9"/>
      <c r="E909" s="18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2.75" customHeight="1" x14ac:dyDescent="0.3">
      <c r="A910" s="9"/>
      <c r="B910" s="9"/>
      <c r="C910" s="24"/>
      <c r="D910" s="9"/>
      <c r="E910" s="18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2.75" customHeight="1" x14ac:dyDescent="0.3">
      <c r="A911" s="9"/>
      <c r="B911" s="9"/>
      <c r="C911" s="24"/>
      <c r="D911" s="9"/>
      <c r="E911" s="18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2.75" customHeight="1" x14ac:dyDescent="0.3">
      <c r="A912" s="9"/>
      <c r="B912" s="9"/>
      <c r="C912" s="24"/>
      <c r="D912" s="9"/>
      <c r="E912" s="18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2.75" customHeight="1" x14ac:dyDescent="0.3">
      <c r="A913" s="9"/>
      <c r="B913" s="9"/>
      <c r="C913" s="24"/>
      <c r="D913" s="9"/>
      <c r="E913" s="18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2.75" customHeight="1" x14ac:dyDescent="0.3">
      <c r="A914" s="9"/>
      <c r="B914" s="9"/>
      <c r="C914" s="24"/>
      <c r="D914" s="9"/>
      <c r="E914" s="18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2.75" customHeight="1" x14ac:dyDescent="0.3">
      <c r="A915" s="9"/>
      <c r="B915" s="9"/>
      <c r="C915" s="24"/>
      <c r="D915" s="9"/>
      <c r="E915" s="18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2.75" customHeight="1" x14ac:dyDescent="0.3">
      <c r="A916" s="9"/>
      <c r="B916" s="9"/>
      <c r="C916" s="24"/>
      <c r="D916" s="9"/>
      <c r="E916" s="18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2.75" customHeight="1" x14ac:dyDescent="0.3">
      <c r="A917" s="9"/>
      <c r="B917" s="9"/>
      <c r="C917" s="24"/>
      <c r="D917" s="9"/>
      <c r="E917" s="18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2.75" customHeight="1" x14ac:dyDescent="0.3">
      <c r="A918" s="9"/>
      <c r="B918" s="9"/>
      <c r="C918" s="24"/>
      <c r="D918" s="9"/>
      <c r="E918" s="18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2.75" customHeight="1" x14ac:dyDescent="0.3">
      <c r="A919" s="9"/>
      <c r="B919" s="9"/>
      <c r="C919" s="24"/>
      <c r="D919" s="9"/>
      <c r="E919" s="18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2.75" customHeight="1" x14ac:dyDescent="0.3">
      <c r="A920" s="9"/>
      <c r="B920" s="9"/>
      <c r="C920" s="24"/>
      <c r="D920" s="9"/>
      <c r="E920" s="18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2.75" customHeight="1" x14ac:dyDescent="0.3">
      <c r="A921" s="9"/>
      <c r="B921" s="9"/>
      <c r="C921" s="24"/>
      <c r="D921" s="9"/>
      <c r="E921" s="18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2.75" customHeight="1" x14ac:dyDescent="0.3">
      <c r="A922" s="9"/>
      <c r="B922" s="9"/>
      <c r="C922" s="24"/>
      <c r="D922" s="9"/>
      <c r="E922" s="18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2.75" customHeight="1" x14ac:dyDescent="0.3">
      <c r="A923" s="9"/>
      <c r="B923" s="9"/>
      <c r="C923" s="24"/>
      <c r="D923" s="9"/>
      <c r="E923" s="18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2.75" customHeight="1" x14ac:dyDescent="0.3">
      <c r="A924" s="9"/>
      <c r="B924" s="9"/>
      <c r="C924" s="24"/>
      <c r="D924" s="9"/>
      <c r="E924" s="18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2.75" customHeight="1" x14ac:dyDescent="0.3">
      <c r="A925" s="9"/>
      <c r="B925" s="9"/>
      <c r="C925" s="24"/>
      <c r="D925" s="9"/>
      <c r="E925" s="18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2.75" customHeight="1" x14ac:dyDescent="0.3">
      <c r="A926" s="9"/>
      <c r="B926" s="9"/>
      <c r="C926" s="24"/>
      <c r="D926" s="9"/>
      <c r="E926" s="18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2.75" customHeight="1" x14ac:dyDescent="0.3">
      <c r="A927" s="9"/>
      <c r="B927" s="9"/>
      <c r="C927" s="24"/>
      <c r="D927" s="9"/>
      <c r="E927" s="18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2.75" customHeight="1" x14ac:dyDescent="0.3">
      <c r="A928" s="9"/>
      <c r="B928" s="9"/>
      <c r="C928" s="24"/>
      <c r="D928" s="9"/>
      <c r="E928" s="18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2.75" customHeight="1" x14ac:dyDescent="0.3">
      <c r="A929" s="9"/>
      <c r="B929" s="9"/>
      <c r="C929" s="24"/>
      <c r="D929" s="9"/>
      <c r="E929" s="18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2.75" customHeight="1" x14ac:dyDescent="0.3">
      <c r="A930" s="9"/>
      <c r="B930" s="9"/>
      <c r="C930" s="24"/>
      <c r="D930" s="9"/>
      <c r="E930" s="18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2.75" customHeight="1" x14ac:dyDescent="0.3">
      <c r="A931" s="9"/>
      <c r="B931" s="9"/>
      <c r="C931" s="24"/>
      <c r="D931" s="9"/>
      <c r="E931" s="18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2.75" customHeight="1" x14ac:dyDescent="0.3">
      <c r="A932" s="9"/>
      <c r="B932" s="9"/>
      <c r="C932" s="24"/>
      <c r="D932" s="9"/>
      <c r="E932" s="18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2.75" customHeight="1" x14ac:dyDescent="0.3">
      <c r="A933" s="9"/>
      <c r="B933" s="9"/>
      <c r="C933" s="24"/>
      <c r="D933" s="9"/>
      <c r="E933" s="18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2.75" customHeight="1" x14ac:dyDescent="0.3">
      <c r="A934" s="9"/>
      <c r="B934" s="9"/>
      <c r="C934" s="24"/>
      <c r="D934" s="9"/>
      <c r="E934" s="18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2.75" customHeight="1" x14ac:dyDescent="0.3">
      <c r="A935" s="9"/>
      <c r="B935" s="9"/>
      <c r="C935" s="24"/>
      <c r="D935" s="9"/>
      <c r="E935" s="18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2.75" customHeight="1" x14ac:dyDescent="0.3">
      <c r="A936" s="9"/>
      <c r="B936" s="9"/>
      <c r="C936" s="24"/>
      <c r="D936" s="9"/>
      <c r="E936" s="18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2.75" customHeight="1" x14ac:dyDescent="0.3">
      <c r="A937" s="9"/>
      <c r="B937" s="9"/>
      <c r="C937" s="24"/>
      <c r="D937" s="9"/>
      <c r="E937" s="18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2.75" customHeight="1" x14ac:dyDescent="0.3">
      <c r="A938" s="9"/>
      <c r="B938" s="9"/>
      <c r="C938" s="24"/>
      <c r="D938" s="9"/>
      <c r="E938" s="18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2.75" customHeight="1" x14ac:dyDescent="0.3">
      <c r="A939" s="9"/>
      <c r="B939" s="9"/>
      <c r="C939" s="24"/>
      <c r="D939" s="9"/>
      <c r="E939" s="18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2.75" customHeight="1" x14ac:dyDescent="0.3">
      <c r="A940" s="9"/>
      <c r="B940" s="9"/>
      <c r="C940" s="24"/>
      <c r="D940" s="9"/>
      <c r="E940" s="18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2.75" customHeight="1" x14ac:dyDescent="0.3">
      <c r="A941" s="9"/>
      <c r="B941" s="9"/>
      <c r="C941" s="24"/>
      <c r="D941" s="9"/>
      <c r="E941" s="18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2.75" customHeight="1" x14ac:dyDescent="0.3">
      <c r="A942" s="9"/>
      <c r="B942" s="9"/>
      <c r="C942" s="24"/>
      <c r="D942" s="9"/>
      <c r="E942" s="18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2.75" customHeight="1" x14ac:dyDescent="0.3">
      <c r="A943" s="9"/>
      <c r="B943" s="9"/>
      <c r="C943" s="24"/>
      <c r="D943" s="9"/>
      <c r="E943" s="18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2.75" customHeight="1" x14ac:dyDescent="0.3">
      <c r="A944" s="9"/>
      <c r="B944" s="9"/>
      <c r="C944" s="24"/>
      <c r="D944" s="9"/>
      <c r="E944" s="18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2.75" customHeight="1" x14ac:dyDescent="0.3">
      <c r="A945" s="9"/>
      <c r="B945" s="9"/>
      <c r="C945" s="24"/>
      <c r="D945" s="9"/>
      <c r="E945" s="18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2.75" customHeight="1" x14ac:dyDescent="0.3">
      <c r="A946" s="9"/>
      <c r="B946" s="9"/>
      <c r="C946" s="24"/>
      <c r="D946" s="9"/>
      <c r="E946" s="18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2.75" customHeight="1" x14ac:dyDescent="0.3">
      <c r="A947" s="9"/>
      <c r="B947" s="9"/>
      <c r="C947" s="24"/>
      <c r="D947" s="9"/>
      <c r="E947" s="18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2.75" customHeight="1" x14ac:dyDescent="0.3">
      <c r="A948" s="9"/>
      <c r="B948" s="9"/>
      <c r="C948" s="24"/>
      <c r="D948" s="9"/>
      <c r="E948" s="18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2.75" customHeight="1" x14ac:dyDescent="0.3">
      <c r="A949" s="9"/>
      <c r="B949" s="9"/>
      <c r="C949" s="24"/>
      <c r="D949" s="9"/>
      <c r="E949" s="18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2.75" customHeight="1" x14ac:dyDescent="0.3">
      <c r="A950" s="9"/>
      <c r="B950" s="9"/>
      <c r="C950" s="24"/>
      <c r="D950" s="9"/>
      <c r="E950" s="18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2.75" customHeight="1" x14ac:dyDescent="0.3">
      <c r="A951" s="9"/>
      <c r="B951" s="9"/>
      <c r="C951" s="24"/>
      <c r="D951" s="9"/>
      <c r="E951" s="18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2.75" customHeight="1" x14ac:dyDescent="0.3">
      <c r="A952" s="9"/>
      <c r="B952" s="9"/>
      <c r="C952" s="24"/>
      <c r="D952" s="9"/>
      <c r="E952" s="18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2.75" customHeight="1" x14ac:dyDescent="0.3">
      <c r="A953" s="9"/>
      <c r="B953" s="9"/>
      <c r="C953" s="24"/>
      <c r="D953" s="9"/>
      <c r="E953" s="18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2.75" customHeight="1" x14ac:dyDescent="0.3">
      <c r="A954" s="9"/>
      <c r="B954" s="9"/>
      <c r="C954" s="24"/>
      <c r="D954" s="9"/>
      <c r="E954" s="18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2.75" customHeight="1" x14ac:dyDescent="0.3">
      <c r="A955" s="9"/>
      <c r="B955" s="9"/>
      <c r="C955" s="24"/>
      <c r="D955" s="9"/>
      <c r="E955" s="18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2.75" customHeight="1" x14ac:dyDescent="0.3">
      <c r="A956" s="9"/>
      <c r="B956" s="9"/>
      <c r="C956" s="24"/>
      <c r="D956" s="9"/>
      <c r="E956" s="18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2.75" customHeight="1" x14ac:dyDescent="0.3">
      <c r="A957" s="9"/>
      <c r="B957" s="9"/>
      <c r="C957" s="24"/>
      <c r="D957" s="9"/>
      <c r="E957" s="18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2.75" customHeight="1" x14ac:dyDescent="0.3">
      <c r="A958" s="9"/>
      <c r="B958" s="9"/>
      <c r="C958" s="24"/>
      <c r="D958" s="9"/>
      <c r="E958" s="18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2.75" customHeight="1" x14ac:dyDescent="0.3">
      <c r="A959" s="9"/>
      <c r="B959" s="9"/>
      <c r="C959" s="24"/>
      <c r="D959" s="9"/>
      <c r="E959" s="18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2.75" customHeight="1" x14ac:dyDescent="0.3">
      <c r="A960" s="9"/>
      <c r="B960" s="9"/>
      <c r="C960" s="24"/>
      <c r="D960" s="9"/>
      <c r="E960" s="18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2.75" customHeight="1" x14ac:dyDescent="0.3">
      <c r="A961" s="9"/>
      <c r="B961" s="9"/>
      <c r="C961" s="24"/>
      <c r="D961" s="9"/>
      <c r="E961" s="18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2.75" customHeight="1" x14ac:dyDescent="0.3">
      <c r="A962" s="9"/>
      <c r="B962" s="9"/>
      <c r="C962" s="24"/>
      <c r="D962" s="9"/>
      <c r="E962" s="18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2.75" customHeight="1" x14ac:dyDescent="0.3">
      <c r="A963" s="9"/>
      <c r="B963" s="9"/>
      <c r="C963" s="24"/>
      <c r="D963" s="9"/>
      <c r="E963" s="18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2.75" customHeight="1" x14ac:dyDescent="0.3">
      <c r="A964" s="9"/>
      <c r="B964" s="9"/>
      <c r="C964" s="24"/>
      <c r="D964" s="9"/>
      <c r="E964" s="18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2.75" customHeight="1" x14ac:dyDescent="0.3">
      <c r="A965" s="9"/>
      <c r="B965" s="9"/>
      <c r="C965" s="24"/>
      <c r="D965" s="9"/>
      <c r="E965" s="18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2.75" customHeight="1" x14ac:dyDescent="0.3">
      <c r="A966" s="9"/>
      <c r="B966" s="9"/>
      <c r="C966" s="24"/>
      <c r="D966" s="9"/>
      <c r="E966" s="18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2.75" customHeight="1" x14ac:dyDescent="0.3">
      <c r="A967" s="9"/>
      <c r="B967" s="9"/>
      <c r="C967" s="24"/>
      <c r="D967" s="9"/>
      <c r="E967" s="18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2.75" customHeight="1" x14ac:dyDescent="0.3">
      <c r="A968" s="9"/>
      <c r="B968" s="9"/>
      <c r="C968" s="24"/>
      <c r="D968" s="9"/>
      <c r="E968" s="18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2.75" customHeight="1" x14ac:dyDescent="0.3">
      <c r="A969" s="9"/>
      <c r="B969" s="9"/>
      <c r="C969" s="24"/>
      <c r="D969" s="9"/>
      <c r="E969" s="18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2.75" customHeight="1" x14ac:dyDescent="0.3">
      <c r="A970" s="9"/>
      <c r="B970" s="9"/>
      <c r="C970" s="24"/>
      <c r="D970" s="9"/>
      <c r="E970" s="18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2.75" customHeight="1" x14ac:dyDescent="0.3">
      <c r="A971" s="9"/>
      <c r="B971" s="9"/>
      <c r="C971" s="24"/>
      <c r="D971" s="9"/>
      <c r="E971" s="18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2.75" customHeight="1" x14ac:dyDescent="0.3">
      <c r="A972" s="9"/>
      <c r="B972" s="9"/>
      <c r="C972" s="24"/>
      <c r="D972" s="9"/>
      <c r="E972" s="18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2.75" customHeight="1" x14ac:dyDescent="0.3">
      <c r="A973" s="9"/>
      <c r="B973" s="9"/>
      <c r="C973" s="24"/>
      <c r="D973" s="9"/>
      <c r="E973" s="18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2.75" customHeight="1" x14ac:dyDescent="0.3">
      <c r="A974" s="9"/>
      <c r="B974" s="9"/>
      <c r="C974" s="24"/>
      <c r="D974" s="9"/>
      <c r="E974" s="18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2.75" customHeight="1" x14ac:dyDescent="0.3">
      <c r="A975" s="9"/>
      <c r="B975" s="9"/>
      <c r="C975" s="24"/>
      <c r="D975" s="9"/>
      <c r="E975" s="18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2.75" customHeight="1" x14ac:dyDescent="0.3">
      <c r="A976" s="9"/>
      <c r="B976" s="9"/>
      <c r="C976" s="24"/>
      <c r="D976" s="9"/>
      <c r="E976" s="18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2.75" customHeight="1" x14ac:dyDescent="0.3">
      <c r="A977" s="9"/>
      <c r="B977" s="9"/>
      <c r="C977" s="24"/>
      <c r="D977" s="9"/>
      <c r="E977" s="18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2.75" customHeight="1" x14ac:dyDescent="0.3">
      <c r="A978" s="9"/>
      <c r="B978" s="9"/>
      <c r="C978" s="24"/>
      <c r="D978" s="9"/>
      <c r="E978" s="18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2.75" customHeight="1" x14ac:dyDescent="0.3">
      <c r="A979" s="9"/>
      <c r="B979" s="9"/>
      <c r="C979" s="24"/>
      <c r="D979" s="9"/>
      <c r="E979" s="18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2.75" customHeight="1" x14ac:dyDescent="0.3">
      <c r="A980" s="9"/>
      <c r="B980" s="9"/>
      <c r="C980" s="24"/>
      <c r="D980" s="9"/>
      <c r="E980" s="18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2.75" customHeight="1" x14ac:dyDescent="0.3">
      <c r="A981" s="9"/>
      <c r="B981" s="9"/>
      <c r="C981" s="24"/>
      <c r="D981" s="9"/>
      <c r="E981" s="18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2.75" customHeight="1" x14ac:dyDescent="0.3">
      <c r="A982" s="9"/>
      <c r="B982" s="9"/>
      <c r="C982" s="24"/>
      <c r="D982" s="9"/>
      <c r="E982" s="18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2.75" customHeight="1" x14ac:dyDescent="0.3">
      <c r="A983" s="9"/>
      <c r="B983" s="9"/>
      <c r="C983" s="24"/>
      <c r="D983" s="9"/>
      <c r="E983" s="18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2.75" customHeight="1" x14ac:dyDescent="0.3">
      <c r="A984" s="9"/>
      <c r="B984" s="9"/>
      <c r="C984" s="24"/>
      <c r="D984" s="9"/>
      <c r="E984" s="18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2.75" customHeight="1" x14ac:dyDescent="0.3">
      <c r="A985" s="9"/>
      <c r="B985" s="9"/>
      <c r="C985" s="24"/>
      <c r="D985" s="9"/>
      <c r="E985" s="18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2.75" customHeight="1" x14ac:dyDescent="0.3">
      <c r="A986" s="9"/>
      <c r="B986" s="9"/>
      <c r="C986" s="24"/>
      <c r="D986" s="9"/>
      <c r="E986" s="18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2.75" customHeight="1" x14ac:dyDescent="0.3">
      <c r="A987" s="9"/>
      <c r="B987" s="9"/>
      <c r="C987" s="24"/>
      <c r="D987" s="9"/>
      <c r="E987" s="18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2.75" customHeight="1" x14ac:dyDescent="0.3">
      <c r="A988" s="9"/>
      <c r="B988" s="9"/>
      <c r="C988" s="24"/>
      <c r="D988" s="9"/>
      <c r="E988" s="18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2.75" customHeight="1" x14ac:dyDescent="0.3">
      <c r="A989" s="9"/>
      <c r="B989" s="9"/>
      <c r="C989" s="24"/>
      <c r="D989" s="9"/>
      <c r="E989" s="18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2.75" customHeight="1" x14ac:dyDescent="0.3">
      <c r="A990" s="9"/>
      <c r="B990" s="9"/>
      <c r="C990" s="24"/>
      <c r="D990" s="9"/>
      <c r="E990" s="18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2.75" customHeight="1" x14ac:dyDescent="0.3">
      <c r="A991" s="9"/>
      <c r="B991" s="9"/>
      <c r="C991" s="24"/>
      <c r="D991" s="9"/>
      <c r="E991" s="18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2.75" customHeight="1" x14ac:dyDescent="0.3">
      <c r="A992" s="9"/>
      <c r="B992" s="9"/>
      <c r="C992" s="24"/>
      <c r="D992" s="9"/>
      <c r="E992" s="18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2.75" customHeight="1" x14ac:dyDescent="0.3">
      <c r="A993" s="9"/>
      <c r="B993" s="9"/>
      <c r="C993" s="24"/>
      <c r="D993" s="9"/>
      <c r="E993" s="18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2.75" customHeight="1" x14ac:dyDescent="0.3">
      <c r="A994" s="9"/>
      <c r="B994" s="9"/>
      <c r="C994" s="24"/>
      <c r="D994" s="9"/>
      <c r="E994" s="18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12.75" customHeight="1" x14ac:dyDescent="0.3">
      <c r="A995" s="9"/>
      <c r="B995" s="9"/>
      <c r="C995" s="24"/>
      <c r="D995" s="9"/>
      <c r="E995" s="18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12.75" customHeight="1" x14ac:dyDescent="0.3">
      <c r="A996" s="9"/>
      <c r="B996" s="9"/>
      <c r="C996" s="24"/>
      <c r="D996" s="9"/>
      <c r="E996" s="18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2.75" customHeight="1" x14ac:dyDescent="0.3">
      <c r="A997" s="9"/>
      <c r="B997" s="9"/>
      <c r="C997" s="24"/>
      <c r="D997" s="9"/>
      <c r="E997" s="18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12.75" customHeight="1" x14ac:dyDescent="0.3">
      <c r="A998" s="9"/>
      <c r="B998" s="9"/>
      <c r="C998" s="24"/>
      <c r="D998" s="9"/>
      <c r="E998" s="18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12.75" customHeight="1" x14ac:dyDescent="0.3">
      <c r="A999" s="9"/>
      <c r="B999" s="9"/>
      <c r="C999" s="24"/>
      <c r="D999" s="9"/>
      <c r="E999" s="18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  <row r="1000" spans="1:28" ht="12.75" customHeight="1" x14ac:dyDescent="0.3">
      <c r="A1000" s="9"/>
      <c r="B1000" s="9"/>
      <c r="C1000" s="24"/>
      <c r="D1000" s="9"/>
      <c r="E1000" s="18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</row>
    <row r="1001" spans="1:28" ht="12.75" customHeight="1" x14ac:dyDescent="0.3">
      <c r="A1001" s="9"/>
      <c r="B1001" s="9"/>
      <c r="C1001" s="24"/>
      <c r="D1001" s="9"/>
      <c r="E1001" s="18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</row>
    <row r="1002" spans="1:28" ht="12.75" customHeight="1" x14ac:dyDescent="0.3">
      <c r="A1002" s="9"/>
      <c r="B1002" s="9"/>
      <c r="C1002" s="24"/>
      <c r="D1002" s="9"/>
      <c r="E1002" s="18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</row>
    <row r="1003" spans="1:28" ht="12.75" customHeight="1" x14ac:dyDescent="0.3">
      <c r="A1003" s="9"/>
      <c r="B1003" s="9"/>
      <c r="C1003" s="24"/>
      <c r="D1003" s="9"/>
      <c r="E1003" s="18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</row>
    <row r="1004" spans="1:28" ht="12.75" customHeight="1" x14ac:dyDescent="0.3">
      <c r="A1004" s="9"/>
      <c r="B1004" s="9"/>
      <c r="C1004" s="24"/>
      <c r="D1004" s="9"/>
      <c r="E1004" s="18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</row>
    <row r="1005" spans="1:28" ht="12.75" customHeight="1" x14ac:dyDescent="0.3">
      <c r="A1005" s="9"/>
      <c r="B1005" s="9"/>
      <c r="C1005" s="24"/>
      <c r="D1005" s="9"/>
      <c r="E1005" s="18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</row>
    <row r="1006" spans="1:28" ht="12.75" customHeight="1" x14ac:dyDescent="0.3">
      <c r="A1006" s="9"/>
      <c r="B1006" s="9"/>
      <c r="C1006" s="24"/>
      <c r="D1006" s="9"/>
      <c r="E1006" s="18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</row>
    <row r="1007" spans="1:28" ht="12.75" customHeight="1" x14ac:dyDescent="0.3">
      <c r="A1007" s="9"/>
      <c r="B1007" s="9"/>
      <c r="C1007" s="24"/>
      <c r="D1007" s="9"/>
      <c r="E1007" s="18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</row>
    <row r="1008" spans="1:28" ht="12.75" customHeight="1" x14ac:dyDescent="0.3">
      <c r="A1008" s="9"/>
      <c r="B1008" s="9"/>
      <c r="C1008" s="24"/>
      <c r="D1008" s="9"/>
      <c r="E1008" s="18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</row>
    <row r="1009" spans="1:28" ht="12.75" customHeight="1" x14ac:dyDescent="0.3">
      <c r="A1009" s="9"/>
      <c r="B1009" s="9"/>
      <c r="C1009" s="24"/>
      <c r="D1009" s="9"/>
      <c r="E1009" s="18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</row>
    <row r="1010" spans="1:28" ht="12.75" customHeight="1" x14ac:dyDescent="0.3">
      <c r="A1010" s="9"/>
      <c r="B1010" s="9"/>
      <c r="C1010" s="24"/>
      <c r="D1010" s="9"/>
      <c r="E1010" s="18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</row>
    <row r="1011" spans="1:28" ht="12.75" customHeight="1" x14ac:dyDescent="0.3">
      <c r="A1011" s="9"/>
      <c r="B1011" s="9"/>
      <c r="C1011" s="24"/>
      <c r="D1011" s="9"/>
      <c r="E1011" s="18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</row>
    <row r="1012" spans="1:28" ht="12.75" customHeight="1" x14ac:dyDescent="0.3">
      <c r="A1012" s="9"/>
      <c r="B1012" s="9"/>
      <c r="C1012" s="24"/>
      <c r="D1012" s="9"/>
      <c r="E1012" s="18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</row>
    <row r="1013" spans="1:28" ht="12.75" customHeight="1" x14ac:dyDescent="0.3">
      <c r="A1013" s="9"/>
      <c r="B1013" s="9"/>
      <c r="C1013" s="24"/>
      <c r="D1013" s="9"/>
      <c r="E1013" s="18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</row>
    <row r="1014" spans="1:28" ht="12.75" customHeight="1" x14ac:dyDescent="0.3">
      <c r="A1014" s="9"/>
      <c r="B1014" s="9"/>
      <c r="C1014" s="24"/>
      <c r="D1014" s="9"/>
      <c r="E1014" s="18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</row>
    <row r="1015" spans="1:28" ht="12.75" customHeight="1" x14ac:dyDescent="0.3">
      <c r="A1015" s="9"/>
      <c r="B1015" s="9"/>
      <c r="C1015" s="24"/>
      <c r="D1015" s="9"/>
      <c r="E1015" s="18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</row>
    <row r="1016" spans="1:28" ht="12.75" customHeight="1" x14ac:dyDescent="0.3">
      <c r="A1016" s="9"/>
      <c r="B1016" s="9"/>
      <c r="C1016" s="24"/>
      <c r="D1016" s="9"/>
      <c r="E1016" s="18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</row>
    <row r="1017" spans="1:28" ht="12.75" customHeight="1" x14ac:dyDescent="0.3">
      <c r="A1017" s="9"/>
      <c r="B1017" s="9"/>
      <c r="C1017" s="24"/>
      <c r="D1017" s="9"/>
      <c r="E1017" s="18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</row>
    <row r="1018" spans="1:28" ht="12.75" customHeight="1" x14ac:dyDescent="0.3">
      <c r="A1018" s="9"/>
      <c r="B1018" s="9"/>
      <c r="C1018" s="24"/>
      <c r="D1018" s="9"/>
      <c r="E1018" s="18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</row>
  </sheetData>
  <sheetProtection algorithmName="SHA-512" hashValue="H/B2vFyrQkEg0OqDynDldFV0cQ0lYL0zgdDK0ulX4a3Ipj/J/N5FgQ04RAI6VSyY39ZGjttswhuZTjE6WspGog==" saltValue="TVWLgeAt+fP1IaEynve/Ew==" spinCount="100000" sheet="1" objects="1" scenarios="1"/>
  <conditionalFormatting sqref="C86:J86 C99:J99 C109:J109 D92 G77 G92 G102">
    <cfRule type="cellIs" dxfId="3" priority="1" operator="greaterThan">
      <formula>0</formula>
    </cfRule>
  </conditionalFormatting>
  <conditionalFormatting sqref="C86:J86 C99:J99 C109:J109 D92 G77 G92 G102">
    <cfRule type="cellIs" dxfId="2" priority="2" operator="lessThan">
      <formula>0</formula>
    </cfRule>
  </conditionalFormatting>
  <pageMargins left="0.7" right="0.7" top="0.75" bottom="0.75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AI1001"/>
  <sheetViews>
    <sheetView workbookViewId="0"/>
  </sheetViews>
  <sheetFormatPr baseColWidth="10" defaultColWidth="14.3984375" defaultRowHeight="15" customHeight="1" outlineLevelCol="1" x14ac:dyDescent="0.3"/>
  <cols>
    <col min="1" max="1" width="26.69921875" customWidth="1"/>
    <col min="2" max="6" width="6.69921875" customWidth="1" outlineLevel="1"/>
    <col min="7" max="7" width="10.59765625" customWidth="1" outlineLevel="1"/>
    <col min="8" max="8" width="9.3984375" customWidth="1"/>
    <col min="9" max="9" width="9.59765625" customWidth="1"/>
    <col min="10" max="11" width="10.8984375" customWidth="1"/>
    <col min="13" max="13" width="10.8984375" customWidth="1"/>
    <col min="14" max="14" width="14" customWidth="1"/>
    <col min="15" max="15" width="12.8984375" customWidth="1"/>
    <col min="16" max="16" width="8" customWidth="1"/>
    <col min="17" max="35" width="30.59765625" customWidth="1"/>
  </cols>
  <sheetData>
    <row r="1" spans="1:35" ht="26" x14ac:dyDescent="0.3">
      <c r="A1" s="707" t="s">
        <v>532</v>
      </c>
      <c r="B1" s="9"/>
      <c r="C1" s="9"/>
      <c r="D1" s="9"/>
      <c r="E1" s="9"/>
      <c r="F1" s="9"/>
      <c r="H1" s="13" t="s">
        <v>533</v>
      </c>
      <c r="I1" s="970" t="s">
        <v>534</v>
      </c>
      <c r="J1" s="960"/>
      <c r="K1" s="958"/>
      <c r="L1" s="971" t="s">
        <v>535</v>
      </c>
      <c r="M1" s="951"/>
      <c r="N1" s="951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29" x14ac:dyDescent="0.3">
      <c r="A2" s="707" t="s">
        <v>537</v>
      </c>
      <c r="B2" s="711" t="s">
        <v>590</v>
      </c>
      <c r="C2" s="711" t="s">
        <v>591</v>
      </c>
      <c r="D2" s="711" t="s">
        <v>592</v>
      </c>
      <c r="E2" s="711" t="s">
        <v>593</v>
      </c>
      <c r="F2" s="711" t="s">
        <v>594</v>
      </c>
      <c r="G2" s="711" t="s">
        <v>538</v>
      </c>
      <c r="H2" s="800" t="s">
        <v>595</v>
      </c>
      <c r="I2" s="712" t="s">
        <v>539</v>
      </c>
      <c r="J2" s="713" t="s">
        <v>455</v>
      </c>
      <c r="K2" s="713" t="s">
        <v>540</v>
      </c>
      <c r="L2" s="801" t="s">
        <v>539</v>
      </c>
      <c r="M2" s="802" t="s">
        <v>455</v>
      </c>
      <c r="N2" s="803" t="s">
        <v>540</v>
      </c>
      <c r="O2" s="804" t="s">
        <v>596</v>
      </c>
      <c r="P2" s="707" t="s">
        <v>151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2.75" customHeight="1" x14ac:dyDescent="0.3">
      <c r="A3" s="717" t="s">
        <v>542</v>
      </c>
      <c r="B3" s="718"/>
      <c r="C3" s="718"/>
      <c r="D3" s="718"/>
      <c r="E3" s="718"/>
      <c r="F3" s="718"/>
      <c r="G3" s="718"/>
      <c r="H3" s="718"/>
      <c r="I3" s="719"/>
      <c r="J3" s="720"/>
      <c r="K3" s="720"/>
      <c r="L3" s="719"/>
      <c r="M3" s="720"/>
      <c r="N3" s="721"/>
      <c r="O3" s="722"/>
      <c r="P3" s="723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2.75" customHeight="1" x14ac:dyDescent="0.3">
      <c r="A4" s="39" t="s">
        <v>543</v>
      </c>
      <c r="B4" s="18">
        <v>1515</v>
      </c>
      <c r="C4" s="18">
        <v>1445</v>
      </c>
      <c r="D4" s="18">
        <v>1445</v>
      </c>
      <c r="E4" s="18">
        <v>1445</v>
      </c>
      <c r="F4" s="18">
        <v>1520</v>
      </c>
      <c r="G4" s="18">
        <v>1490</v>
      </c>
      <c r="H4" s="18">
        <v>795</v>
      </c>
      <c r="I4" s="111">
        <v>9</v>
      </c>
      <c r="J4" s="18">
        <f>1*I4</f>
        <v>9</v>
      </c>
      <c r="K4" s="18">
        <f t="shared" ref="K4:K7" si="0">J4*H4</f>
        <v>7155</v>
      </c>
      <c r="L4" s="111">
        <v>21</v>
      </c>
      <c r="M4" s="18">
        <f>1*L4</f>
        <v>21</v>
      </c>
      <c r="N4" s="225">
        <f t="shared" ref="N4:N7" si="1">M4*H4</f>
        <v>16695</v>
      </c>
      <c r="O4" s="64">
        <f t="shared" ref="O4:O7" si="2">M4-J4</f>
        <v>12</v>
      </c>
      <c r="P4" s="225">
        <f t="shared" ref="P4:P9" si="3">K4+N4</f>
        <v>23850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2.75" customHeight="1" x14ac:dyDescent="0.3">
      <c r="A5" s="39" t="s">
        <v>544</v>
      </c>
      <c r="B5" s="18">
        <v>1315</v>
      </c>
      <c r="C5" s="18">
        <v>1245</v>
      </c>
      <c r="D5" s="18">
        <v>1245</v>
      </c>
      <c r="E5" s="18">
        <v>1245</v>
      </c>
      <c r="F5" s="18">
        <v>1320</v>
      </c>
      <c r="G5" s="18">
        <f>2580/2</f>
        <v>1290</v>
      </c>
      <c r="H5" s="18">
        <f>995/2</f>
        <v>497.5</v>
      </c>
      <c r="I5" s="111">
        <v>3</v>
      </c>
      <c r="J5" s="18">
        <f>2*I5</f>
        <v>6</v>
      </c>
      <c r="K5" s="18">
        <f t="shared" si="0"/>
        <v>2985</v>
      </c>
      <c r="L5" s="111">
        <v>7</v>
      </c>
      <c r="M5" s="18">
        <f>2*L5</f>
        <v>14</v>
      </c>
      <c r="N5" s="225">
        <f t="shared" si="1"/>
        <v>6965</v>
      </c>
      <c r="O5" s="64">
        <f t="shared" si="2"/>
        <v>8</v>
      </c>
      <c r="P5" s="225">
        <f t="shared" si="3"/>
        <v>9950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2.75" customHeight="1" x14ac:dyDescent="0.3">
      <c r="A6" s="39" t="s">
        <v>545</v>
      </c>
      <c r="B6" s="18"/>
      <c r="C6" s="18">
        <v>1145</v>
      </c>
      <c r="D6" s="18">
        <v>1145</v>
      </c>
      <c r="E6" s="18">
        <v>1145</v>
      </c>
      <c r="F6" s="18">
        <v>1220</v>
      </c>
      <c r="G6" s="18">
        <f t="shared" ref="G6:H6" si="4">3270/3</f>
        <v>1090</v>
      </c>
      <c r="H6" s="18">
        <f t="shared" si="4"/>
        <v>1090</v>
      </c>
      <c r="I6" s="111"/>
      <c r="J6" s="18">
        <f>3*I6</f>
        <v>0</v>
      </c>
      <c r="K6" s="18">
        <f t="shared" si="0"/>
        <v>0</v>
      </c>
      <c r="L6" s="214"/>
      <c r="M6" s="18">
        <f>3*L6</f>
        <v>0</v>
      </c>
      <c r="N6" s="225">
        <f t="shared" si="1"/>
        <v>0</v>
      </c>
      <c r="O6" s="64">
        <f t="shared" si="2"/>
        <v>0</v>
      </c>
      <c r="P6" s="225">
        <f t="shared" si="3"/>
        <v>0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 customHeight="1" x14ac:dyDescent="0.3">
      <c r="A7" s="39" t="s">
        <v>546</v>
      </c>
      <c r="B7" s="18">
        <v>1015</v>
      </c>
      <c r="C7" s="18">
        <v>1045</v>
      </c>
      <c r="D7" s="18">
        <v>1045</v>
      </c>
      <c r="E7" s="18">
        <v>1045</v>
      </c>
      <c r="F7" s="18">
        <v>1120</v>
      </c>
      <c r="G7" s="18">
        <f t="shared" ref="G7:H7" si="5">3560/4</f>
        <v>890</v>
      </c>
      <c r="H7" s="18">
        <f t="shared" si="5"/>
        <v>890</v>
      </c>
      <c r="I7" s="214"/>
      <c r="J7" s="18">
        <f>4*I7</f>
        <v>0</v>
      </c>
      <c r="K7" s="18">
        <f t="shared" si="0"/>
        <v>0</v>
      </c>
      <c r="L7" s="214"/>
      <c r="M7" s="18">
        <f>4*L7</f>
        <v>0</v>
      </c>
      <c r="N7" s="225">
        <f t="shared" si="1"/>
        <v>0</v>
      </c>
      <c r="O7" s="64">
        <f t="shared" si="2"/>
        <v>0</v>
      </c>
      <c r="P7" s="225">
        <f t="shared" si="3"/>
        <v>0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2.75" customHeight="1" x14ac:dyDescent="0.3">
      <c r="A8" s="39" t="s">
        <v>597</v>
      </c>
      <c r="B8" s="18">
        <v>585</v>
      </c>
      <c r="C8" s="18">
        <v>595</v>
      </c>
      <c r="D8" s="18">
        <v>595</v>
      </c>
      <c r="E8" s="18">
        <v>595</v>
      </c>
      <c r="F8" s="18">
        <v>605</v>
      </c>
      <c r="G8" s="18">
        <v>595</v>
      </c>
      <c r="H8" s="18">
        <v>595</v>
      </c>
      <c r="I8" s="113"/>
      <c r="J8" s="28">
        <v>35</v>
      </c>
      <c r="K8" s="225">
        <f>H8*M11</f>
        <v>20825</v>
      </c>
      <c r="L8" s="805"/>
      <c r="M8" s="18">
        <v>35</v>
      </c>
      <c r="N8" s="18">
        <f>H8*M11</f>
        <v>20825</v>
      </c>
      <c r="O8" s="64"/>
      <c r="P8" s="225">
        <f t="shared" si="3"/>
        <v>41650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2.75" customHeight="1" x14ac:dyDescent="0.3">
      <c r="A9" s="39" t="s">
        <v>598</v>
      </c>
      <c r="B9" s="18"/>
      <c r="C9" s="18"/>
      <c r="D9" s="18"/>
      <c r="E9" s="18"/>
      <c r="F9" s="18"/>
      <c r="G9" s="18"/>
      <c r="H9" s="18">
        <v>425</v>
      </c>
      <c r="I9" s="113"/>
      <c r="J9" s="28"/>
      <c r="K9" s="225"/>
      <c r="L9" s="805"/>
      <c r="M9" s="18"/>
      <c r="N9" s="18">
        <f>H9*M11</f>
        <v>14875</v>
      </c>
      <c r="O9" s="64"/>
      <c r="P9" s="225">
        <f t="shared" si="3"/>
        <v>14875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2.75" customHeight="1" x14ac:dyDescent="0.3">
      <c r="A10" s="708"/>
      <c r="B10" s="708"/>
      <c r="C10" s="708"/>
      <c r="D10" s="708"/>
      <c r="E10" s="708"/>
      <c r="F10" s="708"/>
      <c r="G10" s="708"/>
      <c r="H10" s="708"/>
      <c r="I10" s="708"/>
      <c r="J10" s="806"/>
      <c r="K10" s="806"/>
      <c r="L10" s="806"/>
      <c r="M10" s="806"/>
      <c r="N10" s="806"/>
      <c r="O10" s="807"/>
      <c r="P10" s="80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2.75" customHeight="1" x14ac:dyDescent="0.3">
      <c r="A11" s="11" t="s">
        <v>151</v>
      </c>
      <c r="B11" s="12"/>
      <c r="C11" s="12"/>
      <c r="D11" s="12"/>
      <c r="E11" s="12"/>
      <c r="F11" s="12"/>
      <c r="G11" s="12"/>
      <c r="H11" s="12"/>
      <c r="I11" s="12"/>
      <c r="J11" s="60">
        <f>SUM(J4:J7)</f>
        <v>15</v>
      </c>
      <c r="K11" s="60">
        <f>SUM(K4:K9)</f>
        <v>30965</v>
      </c>
      <c r="L11" s="60"/>
      <c r="M11" s="60">
        <f>SUM(M4:M7)</f>
        <v>35</v>
      </c>
      <c r="N11" s="60">
        <f>SUM(N4:N9)</f>
        <v>59360</v>
      </c>
      <c r="O11" s="60">
        <f>SUM(O4:O7)</f>
        <v>20</v>
      </c>
      <c r="P11" s="60">
        <f>SUM(P4:P9)</f>
        <v>90325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2.75" customHeight="1" x14ac:dyDescent="0.3">
      <c r="A12" s="9"/>
      <c r="B12" s="18"/>
      <c r="C12" s="18"/>
      <c r="D12" s="18"/>
      <c r="E12" s="18"/>
      <c r="F12" s="18"/>
      <c r="G12" s="18"/>
      <c r="H12" s="18"/>
      <c r="I12" s="207"/>
      <c r="J12" s="209"/>
      <c r="K12" s="205"/>
      <c r="L12" s="18"/>
      <c r="M12" s="18"/>
      <c r="N12" s="18"/>
      <c r="O12" s="207"/>
      <c r="P12" s="205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2.75" customHeight="1" x14ac:dyDescent="0.3">
      <c r="A13" s="729" t="s">
        <v>549</v>
      </c>
      <c r="B13" s="729"/>
      <c r="C13" s="729"/>
      <c r="D13" s="729"/>
      <c r="E13" s="729"/>
      <c r="F13" s="729"/>
      <c r="G13" s="729"/>
      <c r="H13" s="729"/>
      <c r="I13" s="730"/>
      <c r="J13" s="729"/>
      <c r="K13" s="731"/>
      <c r="L13" s="729"/>
      <c r="M13" s="729"/>
      <c r="N13" s="729"/>
      <c r="O13" s="64"/>
      <c r="P13" s="225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2.75" customHeight="1" x14ac:dyDescent="0.3">
      <c r="A14" s="39" t="s">
        <v>550</v>
      </c>
      <c r="B14" s="18"/>
      <c r="C14" s="18"/>
      <c r="D14" s="18"/>
      <c r="E14" s="18"/>
      <c r="F14" s="18">
        <v>6000</v>
      </c>
      <c r="G14" s="18">
        <v>6000</v>
      </c>
      <c r="H14" s="18"/>
      <c r="I14" s="64"/>
      <c r="J14" s="9"/>
      <c r="K14" s="306"/>
      <c r="L14" s="9"/>
      <c r="M14" s="18"/>
      <c r="N14" s="9"/>
      <c r="O14" s="64"/>
      <c r="P14" s="225">
        <f t="shared" ref="P14:P16" si="6">H14</f>
        <v>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2.75" customHeight="1" x14ac:dyDescent="0.3">
      <c r="A15" s="39" t="s">
        <v>551</v>
      </c>
      <c r="B15" s="18"/>
      <c r="C15" s="18"/>
      <c r="D15" s="18"/>
      <c r="E15" s="18"/>
      <c r="F15" s="18">
        <v>3000</v>
      </c>
      <c r="G15" s="18">
        <v>20800</v>
      </c>
      <c r="H15" s="18">
        <v>15000</v>
      </c>
      <c r="I15" s="64"/>
      <c r="J15" s="9"/>
      <c r="K15" s="306"/>
      <c r="L15" s="9"/>
      <c r="M15" s="9"/>
      <c r="N15" s="9"/>
      <c r="O15" s="64"/>
      <c r="P15" s="225">
        <f t="shared" si="6"/>
        <v>15000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 customHeight="1" x14ac:dyDescent="0.3">
      <c r="A16" s="39" t="s">
        <v>552</v>
      </c>
      <c r="B16" s="18"/>
      <c r="C16" s="18"/>
      <c r="D16" s="18"/>
      <c r="E16" s="18"/>
      <c r="F16" s="18">
        <v>1500</v>
      </c>
      <c r="G16" s="18">
        <v>20800</v>
      </c>
      <c r="H16" s="18">
        <v>15000</v>
      </c>
      <c r="I16" s="732"/>
      <c r="J16" s="733"/>
      <c r="K16" s="734"/>
      <c r="L16" s="9"/>
      <c r="M16" s="9"/>
      <c r="N16" s="9"/>
      <c r="O16" s="64"/>
      <c r="P16" s="225">
        <f t="shared" si="6"/>
        <v>15000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2.75" customHeight="1" x14ac:dyDescent="0.3">
      <c r="A17" s="11" t="s">
        <v>151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604">
        <f>SUM(P14:P16)</f>
        <v>30000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 customHeight="1" x14ac:dyDescent="0.3">
      <c r="A18" s="418" t="s">
        <v>520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>
        <f>SUM(P11:P12,P17)</f>
        <v>120325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 customHeight="1" x14ac:dyDescent="0.3">
      <c r="A19" s="729"/>
      <c r="B19" s="729"/>
      <c r="C19" s="729"/>
      <c r="D19" s="729"/>
      <c r="E19" s="729"/>
      <c r="F19" s="729"/>
      <c r="G19" s="729"/>
      <c r="H19" s="729"/>
      <c r="I19" s="730"/>
      <c r="J19" s="729"/>
      <c r="K19" s="731"/>
      <c r="L19" s="729"/>
      <c r="M19" s="729"/>
      <c r="N19" s="729"/>
      <c r="O19" s="730"/>
      <c r="P19" s="731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2.7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.75" customHeight="1" x14ac:dyDescent="0.3">
      <c r="A21" s="11" t="s">
        <v>555</v>
      </c>
      <c r="B21" s="12"/>
      <c r="C21" s="12"/>
      <c r="D21" s="12"/>
      <c r="E21" s="12"/>
      <c r="F21" s="12"/>
      <c r="G21" s="735"/>
      <c r="H21" s="73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2.75" customHeight="1" x14ac:dyDescent="0.3">
      <c r="A22" s="9" t="s">
        <v>556</v>
      </c>
      <c r="B22" s="9"/>
      <c r="C22" s="9"/>
      <c r="D22" s="9"/>
      <c r="E22" s="9"/>
      <c r="F22" s="9"/>
      <c r="H22" s="18">
        <f>J11+M11</f>
        <v>50</v>
      </c>
      <c r="I22" s="9"/>
      <c r="J22" s="1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2.75" customHeight="1" x14ac:dyDescent="0.3">
      <c r="A23" s="9" t="s">
        <v>431</v>
      </c>
      <c r="B23" s="9"/>
      <c r="C23" s="9"/>
      <c r="D23" s="9"/>
      <c r="E23" s="9"/>
      <c r="F23" s="9"/>
      <c r="H23" s="18">
        <f>M11</f>
        <v>35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2.75" customHeight="1" x14ac:dyDescent="0.3">
      <c r="A24" s="808" t="s">
        <v>557</v>
      </c>
      <c r="B24" s="739"/>
      <c r="C24" s="739"/>
      <c r="D24" s="739"/>
      <c r="E24" s="739"/>
      <c r="F24" s="739"/>
      <c r="H24" s="175">
        <f>SUM(P4:P7)/H22</f>
        <v>676</v>
      </c>
      <c r="I24" s="739"/>
      <c r="J24" s="73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2.75" customHeight="1" x14ac:dyDescent="0.3">
      <c r="A25" s="808" t="s">
        <v>558</v>
      </c>
      <c r="B25" s="9"/>
      <c r="C25" s="9"/>
      <c r="D25" s="9"/>
      <c r="E25" s="9"/>
      <c r="F25" s="9"/>
      <c r="H25" s="62">
        <f t="shared" ref="H25:H26" si="7">H8</f>
        <v>595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75" customHeight="1" x14ac:dyDescent="0.3">
      <c r="A26" s="9" t="s">
        <v>548</v>
      </c>
      <c r="B26" s="9"/>
      <c r="C26" s="9"/>
      <c r="D26" s="9"/>
      <c r="E26" s="9"/>
      <c r="F26" s="9"/>
      <c r="H26" s="62">
        <f t="shared" si="7"/>
        <v>425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2.75" customHeight="1" x14ac:dyDescent="0.3">
      <c r="A27" s="9" t="s">
        <v>560</v>
      </c>
      <c r="B27" s="9"/>
      <c r="C27" s="9"/>
      <c r="D27" s="9"/>
      <c r="E27" s="9"/>
      <c r="F27" s="9"/>
      <c r="H27" s="62">
        <f>2*H24+2*H25+H26</f>
        <v>2967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2.75" customHeight="1" x14ac:dyDescent="0.3">
      <c r="A28" s="9" t="s">
        <v>561</v>
      </c>
      <c r="B28" s="9"/>
      <c r="C28" s="9"/>
      <c r="D28" s="9"/>
      <c r="E28" s="9"/>
      <c r="F28" s="9"/>
      <c r="H28" s="62">
        <f>H24+2*H25+H26</f>
        <v>2291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2.75" customHeight="1" x14ac:dyDescent="0.3">
      <c r="A29" s="9" t="s">
        <v>562</v>
      </c>
      <c r="B29" s="9"/>
      <c r="C29" s="9"/>
      <c r="D29" s="9"/>
      <c r="E29" s="9"/>
      <c r="F29" s="9"/>
      <c r="H29" s="62">
        <f>P17/H23</f>
        <v>857.14285714285711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2.75" customHeight="1" x14ac:dyDescent="0.3">
      <c r="A30" s="9" t="s">
        <v>563</v>
      </c>
      <c r="B30" s="9"/>
      <c r="C30" s="9"/>
      <c r="D30" s="9"/>
      <c r="E30" s="9"/>
      <c r="F30" s="9"/>
      <c r="H30" s="62">
        <v>1000</v>
      </c>
      <c r="I30" s="9"/>
      <c r="J30" s="9"/>
      <c r="K30" s="9"/>
      <c r="L30" s="9"/>
      <c r="M30" s="1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2.7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 customHeight="1" x14ac:dyDescent="0.3">
      <c r="A33" s="11" t="s">
        <v>564</v>
      </c>
      <c r="B33" s="12"/>
      <c r="C33" s="12"/>
      <c r="D33" s="12"/>
      <c r="E33" s="12"/>
      <c r="F33" s="12"/>
      <c r="G33" s="972" t="s">
        <v>565</v>
      </c>
      <c r="H33" s="963"/>
      <c r="I33" s="955"/>
      <c r="J33" s="972" t="s">
        <v>566</v>
      </c>
      <c r="K33" s="963"/>
      <c r="L33" s="73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 customHeight="1" x14ac:dyDescent="0.3">
      <c r="A34" s="11"/>
      <c r="B34" s="12"/>
      <c r="C34" s="12"/>
      <c r="D34" s="12"/>
      <c r="E34" s="12"/>
      <c r="F34" s="12"/>
      <c r="G34" s="15" t="s">
        <v>567</v>
      </c>
      <c r="H34" s="11" t="s">
        <v>568</v>
      </c>
      <c r="I34" s="735" t="s">
        <v>106</v>
      </c>
      <c r="J34" s="11" t="s">
        <v>567</v>
      </c>
      <c r="K34" s="12" t="s">
        <v>568</v>
      </c>
      <c r="L34" s="12" t="s">
        <v>599</v>
      </c>
      <c r="M34" s="15" t="s">
        <v>490</v>
      </c>
      <c r="N34" s="15" t="s">
        <v>129</v>
      </c>
      <c r="O34" s="15" t="s">
        <v>600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 customHeight="1" x14ac:dyDescent="0.3">
      <c r="A35" s="28" t="s">
        <v>569</v>
      </c>
      <c r="B35" s="9"/>
      <c r="C35" s="9"/>
      <c r="D35" s="9"/>
      <c r="E35" s="9"/>
      <c r="F35" s="9"/>
      <c r="G35" s="223"/>
      <c r="H35" s="9"/>
      <c r="I35" s="306"/>
      <c r="J35" s="223"/>
      <c r="K35" s="9"/>
      <c r="L35" s="748"/>
      <c r="M35" s="297"/>
      <c r="N35" s="297"/>
      <c r="O35" s="74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 customHeight="1" x14ac:dyDescent="0.3">
      <c r="A36" s="747" t="s">
        <v>570</v>
      </c>
      <c r="B36" s="9"/>
      <c r="C36" s="9"/>
      <c r="D36" s="9"/>
      <c r="E36" s="9"/>
      <c r="F36" s="9"/>
      <c r="G36" s="223"/>
      <c r="H36" s="9"/>
      <c r="I36" s="306"/>
      <c r="J36" s="223"/>
      <c r="K36" s="9"/>
      <c r="L36" s="748"/>
      <c r="M36" s="297"/>
      <c r="N36" s="297"/>
      <c r="O36" s="74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 customHeight="1" x14ac:dyDescent="0.3">
      <c r="A37" s="39" t="s">
        <v>108</v>
      </c>
      <c r="B37" s="9"/>
      <c r="C37" s="9"/>
      <c r="D37" s="9"/>
      <c r="E37" s="9"/>
      <c r="F37" s="9"/>
      <c r="G37" s="223"/>
      <c r="H37" s="9">
        <v>1</v>
      </c>
      <c r="I37" s="306">
        <f t="shared" ref="I37:I45" si="8">G37+H37</f>
        <v>1</v>
      </c>
      <c r="J37" s="64">
        <f t="shared" ref="J37:J46" si="9">G37*$H$27</f>
        <v>0</v>
      </c>
      <c r="K37" s="70">
        <f t="shared" ref="K37:K46" si="10">H37*$H$28</f>
        <v>2291</v>
      </c>
      <c r="L37" s="751">
        <f t="shared" ref="L37:L46" si="11">J37+K37</f>
        <v>2291</v>
      </c>
      <c r="M37" s="66">
        <f t="shared" ref="M37:M45" si="12">H$29*I37</f>
        <v>857.14285714285711</v>
      </c>
      <c r="N37" s="66">
        <f t="shared" ref="N37:N46" si="13">I37*$H$30</f>
        <v>1000</v>
      </c>
      <c r="O37" s="74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 customHeight="1" x14ac:dyDescent="0.3">
      <c r="A38" s="39" t="s">
        <v>466</v>
      </c>
      <c r="B38" s="9"/>
      <c r="C38" s="9"/>
      <c r="D38" s="9"/>
      <c r="E38" s="9"/>
      <c r="F38" s="9"/>
      <c r="G38" s="223"/>
      <c r="H38" s="9">
        <v>1</v>
      </c>
      <c r="I38" s="306">
        <f t="shared" si="8"/>
        <v>1</v>
      </c>
      <c r="J38" s="64">
        <f t="shared" si="9"/>
        <v>0</v>
      </c>
      <c r="K38" s="70">
        <f t="shared" si="10"/>
        <v>2291</v>
      </c>
      <c r="L38" s="751">
        <f t="shared" si="11"/>
        <v>2291</v>
      </c>
      <c r="M38" s="66">
        <f t="shared" si="12"/>
        <v>857.14285714285711</v>
      </c>
      <c r="N38" s="66">
        <f t="shared" si="13"/>
        <v>1000</v>
      </c>
      <c r="O38" s="74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 customHeight="1" x14ac:dyDescent="0.3">
      <c r="A39" s="39" t="s">
        <v>469</v>
      </c>
      <c r="B39" s="9"/>
      <c r="C39" s="9"/>
      <c r="D39" s="9"/>
      <c r="E39" s="9"/>
      <c r="F39" s="9"/>
      <c r="G39" s="223">
        <v>1</v>
      </c>
      <c r="H39" s="9"/>
      <c r="I39" s="306">
        <f t="shared" si="8"/>
        <v>1</v>
      </c>
      <c r="J39" s="64">
        <f t="shared" si="9"/>
        <v>2967</v>
      </c>
      <c r="K39" s="70">
        <f t="shared" si="10"/>
        <v>0</v>
      </c>
      <c r="L39" s="751">
        <f t="shared" si="11"/>
        <v>2967</v>
      </c>
      <c r="M39" s="66">
        <f t="shared" si="12"/>
        <v>857.14285714285711</v>
      </c>
      <c r="N39" s="66">
        <f t="shared" si="13"/>
        <v>1000</v>
      </c>
      <c r="O39" s="74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 customHeight="1" x14ac:dyDescent="0.3">
      <c r="A40" s="39" t="s">
        <v>467</v>
      </c>
      <c r="B40" s="9"/>
      <c r="C40" s="9"/>
      <c r="D40" s="9"/>
      <c r="E40" s="9"/>
      <c r="F40" s="9"/>
      <c r="G40" s="223"/>
      <c r="H40" s="9"/>
      <c r="I40" s="306">
        <f t="shared" si="8"/>
        <v>0</v>
      </c>
      <c r="J40" s="64">
        <f t="shared" si="9"/>
        <v>0</v>
      </c>
      <c r="K40" s="70">
        <f t="shared" si="10"/>
        <v>0</v>
      </c>
      <c r="L40" s="751">
        <f t="shared" si="11"/>
        <v>0</v>
      </c>
      <c r="M40" s="66">
        <f t="shared" si="12"/>
        <v>0</v>
      </c>
      <c r="N40" s="66">
        <f t="shared" si="13"/>
        <v>0</v>
      </c>
      <c r="O40" s="74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 customHeight="1" x14ac:dyDescent="0.3">
      <c r="A41" s="39" t="s">
        <v>571</v>
      </c>
      <c r="B41" s="9"/>
      <c r="C41" s="9"/>
      <c r="D41" s="9"/>
      <c r="E41" s="9"/>
      <c r="F41" s="9"/>
      <c r="G41" s="223"/>
      <c r="H41" s="9"/>
      <c r="I41" s="306">
        <f t="shared" si="8"/>
        <v>0</v>
      </c>
      <c r="J41" s="64">
        <f t="shared" si="9"/>
        <v>0</v>
      </c>
      <c r="K41" s="70">
        <f t="shared" si="10"/>
        <v>0</v>
      </c>
      <c r="L41" s="751">
        <f t="shared" si="11"/>
        <v>0</v>
      </c>
      <c r="M41" s="66">
        <f t="shared" si="12"/>
        <v>0</v>
      </c>
      <c r="N41" s="66">
        <f t="shared" si="13"/>
        <v>0</v>
      </c>
      <c r="O41" s="74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 customHeight="1" x14ac:dyDescent="0.3">
      <c r="A42" s="39" t="s">
        <v>464</v>
      </c>
      <c r="B42" s="9"/>
      <c r="C42" s="9"/>
      <c r="D42" s="9"/>
      <c r="E42" s="9"/>
      <c r="F42" s="9"/>
      <c r="G42" s="223">
        <v>1</v>
      </c>
      <c r="H42" s="9"/>
      <c r="I42" s="306">
        <f t="shared" si="8"/>
        <v>1</v>
      </c>
      <c r="J42" s="64">
        <f t="shared" si="9"/>
        <v>2967</v>
      </c>
      <c r="K42" s="70">
        <f t="shared" si="10"/>
        <v>0</v>
      </c>
      <c r="L42" s="751">
        <f t="shared" si="11"/>
        <v>2967</v>
      </c>
      <c r="M42" s="66">
        <f t="shared" si="12"/>
        <v>857.14285714285711</v>
      </c>
      <c r="N42" s="66">
        <f t="shared" si="13"/>
        <v>1000</v>
      </c>
      <c r="O42" s="37"/>
      <c r="P42" s="1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 customHeight="1" x14ac:dyDescent="0.3">
      <c r="A43" s="39" t="s">
        <v>601</v>
      </c>
      <c r="B43" s="9"/>
      <c r="C43" s="9"/>
      <c r="D43" s="9"/>
      <c r="E43" s="9"/>
      <c r="F43" s="9"/>
      <c r="G43" s="223"/>
      <c r="H43" s="9">
        <v>1</v>
      </c>
      <c r="I43" s="306">
        <f t="shared" si="8"/>
        <v>1</v>
      </c>
      <c r="J43" s="64">
        <f t="shared" si="9"/>
        <v>0</v>
      </c>
      <c r="K43" s="70">
        <f t="shared" si="10"/>
        <v>2291</v>
      </c>
      <c r="L43" s="751">
        <f t="shared" si="11"/>
        <v>2291</v>
      </c>
      <c r="M43" s="66">
        <f t="shared" si="12"/>
        <v>857.14285714285711</v>
      </c>
      <c r="N43" s="66">
        <f t="shared" si="13"/>
        <v>1000</v>
      </c>
      <c r="O43" s="37"/>
      <c r="P43" s="18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 customHeight="1" x14ac:dyDescent="0.3">
      <c r="A44" s="39" t="s">
        <v>602</v>
      </c>
      <c r="B44" s="9"/>
      <c r="C44" s="9"/>
      <c r="D44" s="9"/>
      <c r="E44" s="9"/>
      <c r="F44" s="9"/>
      <c r="G44" s="223"/>
      <c r="H44" s="9">
        <v>1</v>
      </c>
      <c r="I44" s="306">
        <f t="shared" si="8"/>
        <v>1</v>
      </c>
      <c r="J44" s="64">
        <f t="shared" si="9"/>
        <v>0</v>
      </c>
      <c r="K44" s="70">
        <f t="shared" si="10"/>
        <v>2291</v>
      </c>
      <c r="L44" s="751">
        <f t="shared" si="11"/>
        <v>2291</v>
      </c>
      <c r="M44" s="66">
        <f t="shared" si="12"/>
        <v>857.14285714285711</v>
      </c>
      <c r="N44" s="66">
        <f t="shared" si="13"/>
        <v>1000</v>
      </c>
      <c r="O44" s="37"/>
      <c r="P44" s="18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 customHeight="1" x14ac:dyDescent="0.3">
      <c r="A45" s="39" t="s">
        <v>603</v>
      </c>
      <c r="B45" s="9"/>
      <c r="C45" s="9"/>
      <c r="D45" s="9"/>
      <c r="E45" s="9"/>
      <c r="F45" s="9"/>
      <c r="G45" s="223"/>
      <c r="H45" s="9"/>
      <c r="I45" s="306">
        <f t="shared" si="8"/>
        <v>0</v>
      </c>
      <c r="J45" s="64">
        <f t="shared" si="9"/>
        <v>0</v>
      </c>
      <c r="K45" s="70">
        <f t="shared" si="10"/>
        <v>0</v>
      </c>
      <c r="L45" s="751">
        <f t="shared" si="11"/>
        <v>0</v>
      </c>
      <c r="M45" s="66">
        <f t="shared" si="12"/>
        <v>0</v>
      </c>
      <c r="N45" s="66">
        <f t="shared" si="13"/>
        <v>0</v>
      </c>
      <c r="O45" s="37"/>
      <c r="P45" s="18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 customHeight="1" x14ac:dyDescent="0.3">
      <c r="A46" s="752" t="s">
        <v>136</v>
      </c>
      <c r="B46" s="753"/>
      <c r="C46" s="753"/>
      <c r="D46" s="753"/>
      <c r="E46" s="753"/>
      <c r="F46" s="753"/>
      <c r="G46" s="755">
        <f>SUM(G37:G45)</f>
        <v>2</v>
      </c>
      <c r="H46" s="756">
        <f>I46-G46</f>
        <v>4</v>
      </c>
      <c r="I46" s="757">
        <f>SUM(I37:I45)</f>
        <v>6</v>
      </c>
      <c r="J46" s="758">
        <f t="shared" si="9"/>
        <v>5934</v>
      </c>
      <c r="K46" s="759">
        <f t="shared" si="10"/>
        <v>9164</v>
      </c>
      <c r="L46" s="759">
        <f t="shared" si="11"/>
        <v>15098</v>
      </c>
      <c r="M46" s="760">
        <f>SUM(M37:M45)</f>
        <v>5142.8571428571422</v>
      </c>
      <c r="N46" s="760">
        <f t="shared" si="13"/>
        <v>6000</v>
      </c>
      <c r="O46" s="760">
        <f>SUM(L46:N46)</f>
        <v>26240.857142857141</v>
      </c>
      <c r="P46" s="18" t="s">
        <v>573</v>
      </c>
      <c r="Q46" s="18">
        <f>Komitéer!L7+Komitéer!E22</f>
        <v>26240.857142857141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3">
      <c r="A47" s="9"/>
      <c r="B47" s="9"/>
      <c r="C47" s="9"/>
      <c r="D47" s="9"/>
      <c r="E47" s="9"/>
      <c r="F47" s="9"/>
      <c r="G47" s="223"/>
      <c r="H47" s="18"/>
      <c r="I47" s="225"/>
      <c r="J47" s="64"/>
      <c r="K47" s="18"/>
      <c r="L47" s="746"/>
      <c r="M47" s="66"/>
      <c r="N47" s="66"/>
      <c r="O47" s="746"/>
      <c r="P47" s="18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 customHeight="1" x14ac:dyDescent="0.3">
      <c r="A48" s="747" t="s">
        <v>577</v>
      </c>
      <c r="B48" s="9"/>
      <c r="C48" s="9"/>
      <c r="D48" s="9"/>
      <c r="E48" s="9"/>
      <c r="F48" s="9"/>
      <c r="G48" s="223"/>
      <c r="H48" s="18"/>
      <c r="I48" s="225"/>
      <c r="J48" s="64"/>
      <c r="K48" s="18"/>
      <c r="L48" s="746"/>
      <c r="M48" s="66"/>
      <c r="N48" s="66"/>
      <c r="O48" s="746"/>
      <c r="P48" s="18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 customHeight="1" x14ac:dyDescent="0.3">
      <c r="A49" s="39" t="s">
        <v>604</v>
      </c>
      <c r="B49" s="9"/>
      <c r="C49" s="9"/>
      <c r="D49" s="9"/>
      <c r="E49" s="9"/>
      <c r="F49" s="9"/>
      <c r="G49" s="223">
        <v>3</v>
      </c>
      <c r="H49" s="9">
        <v>1</v>
      </c>
      <c r="I49" s="306">
        <f t="shared" ref="I49:I51" si="14">SUM(G49:H49)</f>
        <v>4</v>
      </c>
      <c r="J49" s="64"/>
      <c r="K49" s="18"/>
      <c r="L49" s="746"/>
      <c r="M49" s="66"/>
      <c r="N49" s="66"/>
      <c r="O49" s="746"/>
      <c r="P49" s="18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 customHeight="1" x14ac:dyDescent="0.3">
      <c r="A50" s="39" t="s">
        <v>605</v>
      </c>
      <c r="B50" s="9"/>
      <c r="C50" s="9"/>
      <c r="D50" s="9"/>
      <c r="E50" s="9"/>
      <c r="F50" s="9"/>
      <c r="G50" s="223">
        <v>1</v>
      </c>
      <c r="H50" s="9">
        <v>0</v>
      </c>
      <c r="I50" s="306">
        <f t="shared" si="14"/>
        <v>1</v>
      </c>
      <c r="J50" s="64"/>
      <c r="K50" s="18"/>
      <c r="L50" s="746"/>
      <c r="M50" s="66"/>
      <c r="N50" s="66"/>
      <c r="O50" s="746"/>
      <c r="P50" s="18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 customHeight="1" x14ac:dyDescent="0.3">
      <c r="A51" s="39" t="s">
        <v>606</v>
      </c>
      <c r="B51" s="9"/>
      <c r="C51" s="9"/>
      <c r="D51" s="9"/>
      <c r="E51" s="9"/>
      <c r="F51" s="9"/>
      <c r="G51" s="64">
        <f>J11-SUM(G46,G49:G50,G59)</f>
        <v>2</v>
      </c>
      <c r="H51" s="64">
        <f>M11-J11-SUM(H46,H49:H50,H59)</f>
        <v>5</v>
      </c>
      <c r="I51" s="225">
        <f t="shared" si="14"/>
        <v>7</v>
      </c>
      <c r="J51" s="64"/>
      <c r="K51" s="18"/>
      <c r="L51" s="746"/>
      <c r="M51" s="66"/>
      <c r="N51" s="66"/>
      <c r="O51" s="746"/>
      <c r="P51" s="18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 customHeight="1" x14ac:dyDescent="0.3">
      <c r="A52" s="752" t="s">
        <v>136</v>
      </c>
      <c r="B52" s="753"/>
      <c r="C52" s="753"/>
      <c r="D52" s="753"/>
      <c r="E52" s="753"/>
      <c r="F52" s="753"/>
      <c r="G52" s="755">
        <f t="shared" ref="G52:I52" si="15">SUM(G49:G51)</f>
        <v>6</v>
      </c>
      <c r="H52" s="755">
        <f t="shared" si="15"/>
        <v>6</v>
      </c>
      <c r="I52" s="755">
        <f t="shared" si="15"/>
        <v>12</v>
      </c>
      <c r="J52" s="758">
        <f>G52*$H$27</f>
        <v>17802</v>
      </c>
      <c r="K52" s="759">
        <f>H52*$H$28</f>
        <v>13746</v>
      </c>
      <c r="L52" s="759">
        <f>J52+K52</f>
        <v>31548</v>
      </c>
      <c r="M52" s="760">
        <f>SUM(I52*H29)</f>
        <v>10285.714285714286</v>
      </c>
      <c r="N52" s="760">
        <f>(I52-I51)*$H$30</f>
        <v>5000</v>
      </c>
      <c r="O52" s="760">
        <f>SUM(L52:N52)</f>
        <v>46833.71428571429</v>
      </c>
      <c r="P52" s="18"/>
      <c r="Q52" s="7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ht="12.75" customHeight="1" x14ac:dyDescent="0.3">
      <c r="A53" s="9"/>
      <c r="B53" s="9"/>
      <c r="C53" s="9"/>
      <c r="D53" s="9"/>
      <c r="E53" s="9"/>
      <c r="F53" s="9"/>
      <c r="G53" s="223"/>
      <c r="H53" s="18"/>
      <c r="I53" s="225"/>
      <c r="J53" s="64"/>
      <c r="K53" s="18"/>
      <c r="L53" s="746"/>
      <c r="M53" s="66"/>
      <c r="N53" s="66"/>
      <c r="O53" s="746"/>
      <c r="P53" s="18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 customHeight="1" x14ac:dyDescent="0.3">
      <c r="A54" s="772" t="s">
        <v>607</v>
      </c>
      <c r="B54" s="773"/>
      <c r="C54" s="773"/>
      <c r="D54" s="773"/>
      <c r="E54" s="773"/>
      <c r="F54" s="773"/>
      <c r="G54" s="775">
        <f t="shared" ref="G54:O54" si="16">SUM(G46,G52)</f>
        <v>8</v>
      </c>
      <c r="H54" s="776">
        <f t="shared" si="16"/>
        <v>10</v>
      </c>
      <c r="I54" s="777">
        <f t="shared" si="16"/>
        <v>18</v>
      </c>
      <c r="J54" s="778">
        <f t="shared" si="16"/>
        <v>23736</v>
      </c>
      <c r="K54" s="779">
        <f t="shared" si="16"/>
        <v>22910</v>
      </c>
      <c r="L54" s="779">
        <f t="shared" si="16"/>
        <v>46646</v>
      </c>
      <c r="M54" s="779">
        <f t="shared" si="16"/>
        <v>15428.571428571428</v>
      </c>
      <c r="N54" s="780">
        <f t="shared" si="16"/>
        <v>11000</v>
      </c>
      <c r="O54" s="780">
        <f t="shared" si="16"/>
        <v>73074.571428571435</v>
      </c>
      <c r="P54" s="728" t="s">
        <v>581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ht="12.75" customHeight="1" x14ac:dyDescent="0.3">
      <c r="A55" s="9"/>
      <c r="B55" s="9"/>
      <c r="C55" s="9"/>
      <c r="D55" s="9"/>
      <c r="E55" s="9"/>
      <c r="F55" s="9"/>
      <c r="G55" s="223"/>
      <c r="H55" s="18"/>
      <c r="I55" s="225"/>
      <c r="J55" s="64"/>
      <c r="K55" s="18"/>
      <c r="L55" s="746"/>
      <c r="M55" s="66"/>
      <c r="N55" s="66"/>
      <c r="O55" s="746"/>
      <c r="P55" s="18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 customHeight="1" x14ac:dyDescent="0.3">
      <c r="A56" s="39" t="s">
        <v>543</v>
      </c>
      <c r="B56" s="9"/>
      <c r="C56" s="9"/>
      <c r="D56" s="9"/>
      <c r="E56" s="9"/>
      <c r="F56" s="9"/>
      <c r="G56" s="223">
        <v>3</v>
      </c>
      <c r="H56" s="9">
        <v>2</v>
      </c>
      <c r="I56" s="306"/>
      <c r="J56" s="64"/>
      <c r="K56" s="18"/>
      <c r="L56" s="746"/>
      <c r="M56" s="66"/>
      <c r="N56" s="66"/>
      <c r="O56" s="746"/>
      <c r="P56" s="18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 customHeight="1" x14ac:dyDescent="0.3">
      <c r="A57" s="39" t="s">
        <v>544</v>
      </c>
      <c r="B57" s="9"/>
      <c r="C57" s="9"/>
      <c r="D57" s="9"/>
      <c r="E57" s="9"/>
      <c r="F57" s="9"/>
      <c r="G57" s="223">
        <v>1</v>
      </c>
      <c r="H57" s="9">
        <v>2</v>
      </c>
      <c r="I57" s="306"/>
      <c r="J57" s="64"/>
      <c r="K57" s="18"/>
      <c r="L57" s="746"/>
      <c r="M57" s="66"/>
      <c r="N57" s="66"/>
      <c r="O57" s="746"/>
      <c r="P57" s="18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 customHeight="1" x14ac:dyDescent="0.3">
      <c r="A58" s="39" t="s">
        <v>608</v>
      </c>
      <c r="B58" s="9"/>
      <c r="C58" s="9"/>
      <c r="D58" s="9"/>
      <c r="E58" s="9"/>
      <c r="F58" s="9"/>
      <c r="G58" s="223">
        <v>3</v>
      </c>
      <c r="H58" s="9">
        <v>6</v>
      </c>
      <c r="I58" s="306"/>
      <c r="J58" s="64"/>
      <c r="K58" s="18"/>
      <c r="L58" s="746"/>
      <c r="M58" s="66"/>
      <c r="N58" s="66"/>
      <c r="O58" s="746"/>
      <c r="P58" s="18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 customHeight="1" x14ac:dyDescent="0.3">
      <c r="A59" s="772" t="s">
        <v>582</v>
      </c>
      <c r="B59" s="773"/>
      <c r="C59" s="773"/>
      <c r="D59" s="773"/>
      <c r="E59" s="773"/>
      <c r="F59" s="773"/>
      <c r="G59" s="775">
        <f t="shared" ref="G59:H59" si="17">SUM(G56:G58)</f>
        <v>7</v>
      </c>
      <c r="H59" s="776">
        <f t="shared" si="17"/>
        <v>10</v>
      </c>
      <c r="I59" s="777">
        <f>SUM(G59:H59)</f>
        <v>17</v>
      </c>
      <c r="J59" s="778">
        <f>G59*$H$27</f>
        <v>20769</v>
      </c>
      <c r="K59" s="779">
        <f>H59*$H$28</f>
        <v>22910</v>
      </c>
      <c r="L59" s="779">
        <f>J59+K59</f>
        <v>43679</v>
      </c>
      <c r="M59" s="780">
        <f>I59*H29</f>
        <v>14571.428571428571</v>
      </c>
      <c r="N59" s="780">
        <f>I59*$H$30</f>
        <v>17000</v>
      </c>
      <c r="O59" s="780">
        <f>SUM(L59:N59)</f>
        <v>75250.42857142858</v>
      </c>
      <c r="P59" s="18" t="s">
        <v>587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ht="12.75" customHeight="1" x14ac:dyDescent="0.3">
      <c r="A60" s="9"/>
      <c r="B60" s="9"/>
      <c r="C60" s="9"/>
      <c r="D60" s="9"/>
      <c r="E60" s="9"/>
      <c r="F60" s="9"/>
      <c r="G60" s="223"/>
      <c r="H60" s="9"/>
      <c r="I60" s="306"/>
      <c r="J60" s="223"/>
      <c r="K60" s="9"/>
      <c r="L60" s="748"/>
      <c r="M60" s="297"/>
      <c r="N60" s="297"/>
      <c r="O60" s="74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 customHeight="1" x14ac:dyDescent="0.3">
      <c r="A61" s="11" t="s">
        <v>151</v>
      </c>
      <c r="B61" s="12"/>
      <c r="C61" s="12"/>
      <c r="D61" s="12"/>
      <c r="E61" s="12"/>
      <c r="F61" s="12"/>
      <c r="G61" s="11">
        <f t="shared" ref="G61:O61" si="18">G46+G52+G59</f>
        <v>15</v>
      </c>
      <c r="H61" s="12">
        <f t="shared" si="18"/>
        <v>20</v>
      </c>
      <c r="I61" s="735">
        <f t="shared" si="18"/>
        <v>35</v>
      </c>
      <c r="J61" s="11">
        <f t="shared" si="18"/>
        <v>44505</v>
      </c>
      <c r="K61" s="12">
        <f t="shared" si="18"/>
        <v>45820</v>
      </c>
      <c r="L61" s="12">
        <f t="shared" si="18"/>
        <v>90325</v>
      </c>
      <c r="M61" s="12">
        <f t="shared" si="18"/>
        <v>30000</v>
      </c>
      <c r="N61" s="15">
        <f t="shared" si="18"/>
        <v>28000</v>
      </c>
      <c r="O61" s="15">
        <f t="shared" si="18"/>
        <v>148325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 customHeight="1" x14ac:dyDescent="0.3">
      <c r="A62" s="9"/>
      <c r="B62" s="9"/>
      <c r="C62" s="9"/>
      <c r="D62" s="9"/>
      <c r="E62" s="9"/>
      <c r="F62" s="9"/>
      <c r="G62" s="70"/>
      <c r="H62" s="9"/>
      <c r="I62" s="9"/>
      <c r="J62" s="9"/>
      <c r="K62" s="9"/>
      <c r="L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 customHeight="1" x14ac:dyDescent="0.3">
      <c r="A63" s="2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 customHeight="1" x14ac:dyDescent="0.3">
      <c r="A64" s="2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 customHeight="1" x14ac:dyDescent="0.3">
      <c r="A65" s="791" t="s">
        <v>588</v>
      </c>
      <c r="B65" s="792"/>
      <c r="C65" s="792"/>
      <c r="D65" s="792"/>
      <c r="E65" s="792"/>
      <c r="F65" s="792"/>
      <c r="G65" s="792">
        <f t="shared" ref="G65:H65" si="19">SUMPRODUCT(G56:G58,B72:B74)</f>
        <v>21300</v>
      </c>
      <c r="H65" s="792">
        <f t="shared" si="19"/>
        <v>27600</v>
      </c>
      <c r="I65" s="792"/>
      <c r="J65" s="792"/>
      <c r="K65" s="792"/>
      <c r="L65" s="793">
        <f>SUM(G65:H65)</f>
        <v>48900</v>
      </c>
      <c r="M65" s="793"/>
      <c r="N65" s="794"/>
      <c r="O65" s="795">
        <f t="shared" ref="O65:O66" si="20">SUM(K65:N65)</f>
        <v>48900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 customHeight="1" x14ac:dyDescent="0.3">
      <c r="A66" s="796" t="s">
        <v>589</v>
      </c>
      <c r="B66" s="733"/>
      <c r="C66" s="733"/>
      <c r="D66" s="733"/>
      <c r="E66" s="733"/>
      <c r="F66" s="733"/>
      <c r="G66" s="733"/>
      <c r="H66" s="733"/>
      <c r="I66" s="733"/>
      <c r="J66" s="733"/>
      <c r="K66" s="733"/>
      <c r="L66" s="798">
        <f>P11-L46</f>
        <v>75227</v>
      </c>
      <c r="M66" s="798">
        <f>P17-M46</f>
        <v>24857.142857142859</v>
      </c>
      <c r="N66" s="798">
        <f>N52</f>
        <v>5000</v>
      </c>
      <c r="O66" s="799">
        <f t="shared" si="20"/>
        <v>105084.14285714286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2.7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2.7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2.75" customHeight="1" x14ac:dyDescent="0.3">
      <c r="A70" s="2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2.75" customHeight="1" x14ac:dyDescent="0.3">
      <c r="A71" s="753" t="s">
        <v>609</v>
      </c>
      <c r="B71" s="809" t="s">
        <v>567</v>
      </c>
      <c r="C71" s="809" t="s">
        <v>568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2.75" customHeight="1" x14ac:dyDescent="0.3">
      <c r="A72" s="39" t="s">
        <v>543</v>
      </c>
      <c r="B72" s="375">
        <v>4000</v>
      </c>
      <c r="C72" s="810">
        <v>3200</v>
      </c>
      <c r="D72" s="9"/>
      <c r="E72" s="9"/>
      <c r="F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2.75" customHeight="1" x14ac:dyDescent="0.3">
      <c r="A73" s="39" t="s">
        <v>544</v>
      </c>
      <c r="B73" s="223">
        <v>3300</v>
      </c>
      <c r="C73" s="306">
        <v>2800</v>
      </c>
      <c r="D73" s="9"/>
      <c r="E73" s="9"/>
      <c r="F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2.75" customHeight="1" x14ac:dyDescent="0.3">
      <c r="A74" s="39" t="s">
        <v>608</v>
      </c>
      <c r="B74" s="389">
        <v>2000</v>
      </c>
      <c r="C74" s="734">
        <v>2600</v>
      </c>
      <c r="D74" s="9"/>
      <c r="E74" s="9"/>
      <c r="F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2.75" customHeight="1" x14ac:dyDescent="0.3">
      <c r="A75" s="2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2.7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2.75" customHeight="1" x14ac:dyDescent="0.3">
      <c r="A77" s="2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2.7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2.75" customHeight="1" x14ac:dyDescent="0.3">
      <c r="A79" s="2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2.7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2.7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2.7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2.7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2.7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2.7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2.7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2.7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2.7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2.7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2.7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2.7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2.7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2.7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2.7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2.7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2.7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2.7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2.7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2.7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2.7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2.7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2.7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2.7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2.7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2.7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2.7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2.7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2.7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2.7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2.7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2.7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2.7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2.7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2.7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2.7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2.7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2.7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ht="12.7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ht="12.7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ht="12.7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2.7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2.7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2.7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2.7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2.7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2.7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ht="12.7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ht="12.7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ht="12.7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2.7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2.7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2.7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2.75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2.75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2.75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ht="12.75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ht="12.7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ht="12.7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2.7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2.7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2.7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2.7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2.7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2.7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ht="12.7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12.7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ht="12.7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2.7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2.7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2.7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2.7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2.7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2.7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ht="12.7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ht="12.7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ht="12.7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2.7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2.7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2.75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2.75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2.75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2.75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2.75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2.75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2.75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2.75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2.7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2.7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2.75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2.7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2.7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2.7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2.7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2.7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2.7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2.7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2.7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ht="12.7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ht="12.7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ht="12.7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12.7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12.7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12.7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2.7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2.7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2.7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2.7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2.7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2.7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12.7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ht="12.7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12.7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2.7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2.7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2.7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2.7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2.7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2.7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2.7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2.7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2.7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2.7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2.7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2.7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2.7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2.7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2.7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2.7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2.7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2.7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2.7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2.7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2.7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2.7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2.7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2.7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2.7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2.7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2.7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2.7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2.75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2.75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2.75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2.75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2.7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2.7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2.7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2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2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2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2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2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2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2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2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2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2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2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12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2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2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2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2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2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2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2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2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2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2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2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2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2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2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2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2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2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2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2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ht="12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ht="12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ht="12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2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2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2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2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2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2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12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ht="12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ht="12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2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2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2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2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2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2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2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2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2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2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2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2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2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2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2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ht="12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ht="12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ht="12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2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2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2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ht="12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ht="12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ht="12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2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2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2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2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2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2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2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2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2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2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2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2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2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2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2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2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2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2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2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2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2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2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2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2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2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2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2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2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2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2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2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2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2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2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2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2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2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5" ht="12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2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2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2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2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2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2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12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2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2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2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2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2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2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2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2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2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2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2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2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2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2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2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ht="12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35" ht="12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ht="12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2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2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2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2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2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2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2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2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2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ht="12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ht="12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ht="12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ht="12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ht="12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ht="12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2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2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2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2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2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2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2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2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2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2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2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2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2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2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2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2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2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2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2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2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2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2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2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2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2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2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2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2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2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ht="12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ht="12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ht="12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ht="12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ht="12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ht="12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ht="12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ht="12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ht="12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ht="12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ht="12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ht="12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2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ht="12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12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ht="12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ht="12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ht="12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ht="12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ht="12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ht="12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ht="12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ht="12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ht="12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1:35" ht="12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ht="12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ht="12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ht="12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ht="12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ht="12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ht="12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ht="12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ht="12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1:35" ht="12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ht="12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ht="12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5" ht="12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5" ht="12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5" ht="12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ht="12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ht="12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ht="12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ht="12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ht="12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ht="12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ht="12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ht="12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ht="12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ht="12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ht="12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ht="12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ht="12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ht="12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ht="12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ht="12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ht="12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ht="12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ht="12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ht="12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ht="12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ht="12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ht="12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ht="12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ht="12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ht="12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ht="12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ht="12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ht="12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ht="12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ht="12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ht="12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ht="12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ht="12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ht="12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ht="12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ht="12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ht="12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ht="12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1:35" ht="12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ht="12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ht="12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ht="12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ht="12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ht="12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ht="12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ht="12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ht="12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ht="12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ht="12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ht="12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1:35" ht="12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ht="12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ht="12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ht="12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ht="12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1:35" ht="12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ht="12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ht="12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ht="12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ht="12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ht="12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ht="12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ht="12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ht="12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ht="12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ht="12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ht="12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ht="12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ht="12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ht="12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ht="12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ht="12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ht="12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ht="12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ht="12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ht="12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ht="12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1:35" ht="12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ht="12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ht="12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ht="12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ht="12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ht="12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ht="12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ht="12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ht="12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ht="12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ht="12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ht="12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ht="12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ht="12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1:35" ht="12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1:35" ht="12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1:35" ht="12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1:35" ht="12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1:35" ht="12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1:35" ht="12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1:35" ht="12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1:35" ht="12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</row>
    <row r="541" spans="1:35" ht="12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1:35" ht="12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1:35" ht="12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1:35" ht="12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1:35" ht="12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1:35" ht="12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1:35" ht="12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1:35" ht="12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1:35" ht="12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1:35" ht="12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1:35" ht="12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1:35" ht="12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1:35" ht="12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1:35" ht="12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1:35" ht="12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1:35" ht="12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1:35" ht="12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1:35" ht="12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1:35" ht="12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1:35" ht="12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1:35" ht="12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1:35" ht="12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1:35" ht="12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1:35" ht="12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1:35" ht="12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1:35" ht="12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</row>
    <row r="567" spans="1:35" ht="12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1:35" ht="12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1:35" ht="12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1:35" ht="12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1:35" ht="12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1:35" ht="12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1:35" ht="12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1:35" ht="12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1:35" ht="12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1:35" ht="12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1:35" ht="12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1:35" ht="12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1:35" ht="12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1:35" ht="12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1:35" ht="12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1:35" ht="12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1:35" ht="12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1:35" ht="12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1:35" ht="12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1:35" ht="12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1:35" ht="12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1:35" ht="12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1:35" ht="12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1:35" ht="12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1:35" ht="12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1:35" ht="12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1:35" ht="12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1:35" ht="12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1:35" ht="12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1:35" ht="12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</row>
    <row r="597" spans="1:35" ht="12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1:35" ht="12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1:35" ht="12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1:35" ht="12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1:35" ht="12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1:35" ht="12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1:35" ht="12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</row>
    <row r="604" spans="1:35" ht="12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1:35" ht="12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1:35" ht="12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1:35" ht="12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1:35" ht="12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</row>
    <row r="609" spans="1:35" ht="12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1:35" ht="12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1:35" ht="12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1:35" ht="12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1:35" ht="12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1:35" ht="12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1:35" ht="12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1:35" ht="12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1:35" ht="12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1:35" ht="12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1:35" ht="12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1:35" ht="12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1:35" ht="12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1:35" ht="12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1:35" ht="12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1:35" ht="12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1:35" ht="12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1:35" ht="12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1:35" ht="12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1:35" ht="12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1:35" ht="12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1:35" ht="12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</row>
    <row r="631" spans="1:35" ht="12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1:35" ht="12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1:35" ht="12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1:35" ht="12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1:35" ht="12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1:35" ht="12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1:35" ht="12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1:35" ht="12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1:35" ht="12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1:35" ht="12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1:35" ht="12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1:35" ht="12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1:35" ht="12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1:35" ht="12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1:35" ht="12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1:35" ht="12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1:35" ht="12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1:35" ht="12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1:35" ht="12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1:35" ht="12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1:35" ht="12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1:35" ht="12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1:35" ht="12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1:35" ht="12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1:35" ht="12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1:35" ht="12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1:35" ht="12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</row>
    <row r="658" spans="1:35" ht="12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</row>
    <row r="659" spans="1:35" ht="12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</row>
    <row r="660" spans="1:35" ht="12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</row>
    <row r="661" spans="1:35" ht="12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1:35" ht="12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1:35" ht="12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1:35" ht="12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1:35" ht="12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1:35" ht="12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1:35" ht="12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1:35" ht="12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1:35" ht="12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1:35" ht="12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1:35" ht="12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1:35" ht="12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1:35" ht="12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1:35" ht="12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</row>
    <row r="675" spans="1:35" ht="12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</row>
    <row r="676" spans="1:35" ht="12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1:35" ht="12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1:35" ht="12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1:35" ht="12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1:35" ht="12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1:35" ht="12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</row>
    <row r="682" spans="1:35" ht="12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1:35" ht="12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1:35" ht="12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1:35" ht="12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1:35" ht="12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1:35" ht="12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1:35" ht="12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1:35" ht="12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1:35" ht="12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1:35" ht="12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</row>
    <row r="692" spans="1:35" ht="12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1:35" ht="12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</row>
    <row r="694" spans="1:35" ht="12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1:35" ht="12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1:35" ht="12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1:35" ht="12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1:35" ht="12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1:35" ht="12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1:35" ht="12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1:35" ht="12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1:35" ht="12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</row>
    <row r="703" spans="1:35" ht="12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1:35" ht="12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1:35" ht="12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</row>
    <row r="706" spans="1:35" ht="12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1:35" ht="12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1:35" ht="12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1:35" ht="12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1:35" ht="12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1:35" ht="12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1:35" ht="12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1:35" ht="12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</row>
    <row r="714" spans="1:35" ht="12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1:35" ht="12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1:35" ht="12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1:35" ht="12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1:35" ht="12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1:35" ht="12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1:35" ht="12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1:35" ht="12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1:35" ht="12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1:35" ht="12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1:35" ht="12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1:35" ht="12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1:35" ht="12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1:35" ht="12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1:35" ht="12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1:35" ht="12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1:35" ht="12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1:35" ht="12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1:35" ht="12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1:35" ht="12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1:35" ht="12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1:35" ht="12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1:35" ht="12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1:35" ht="12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1:35" ht="12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1:35" ht="12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1:35" ht="12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1:35" ht="12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1:35" ht="12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1:35" ht="12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1:35" ht="12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1:35" ht="12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</row>
    <row r="746" spans="1:35" ht="12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1:35" ht="12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1:35" ht="12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</row>
    <row r="749" spans="1:35" ht="12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</row>
    <row r="750" spans="1:35" ht="12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1:35" ht="12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1:35" ht="12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1:35" ht="12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1:35" ht="12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1:35" ht="12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1:35" ht="12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</row>
    <row r="757" spans="1:35" ht="12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1:35" ht="12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1:35" ht="12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1:35" ht="12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1:35" ht="12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1:35" ht="12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1:35" ht="12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1:35" ht="12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1:35" ht="12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1:35" ht="12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1:35" ht="12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</row>
    <row r="768" spans="1:35" ht="12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1:35" ht="12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1:35" ht="12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1:35" ht="12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</row>
    <row r="772" spans="1:35" ht="12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1:35" ht="12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1:35" ht="12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1:35" ht="12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</row>
    <row r="776" spans="1:35" ht="12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1:35" ht="12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1:35" ht="12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1:35" ht="12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1:35" ht="12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1:35" ht="12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1:35" ht="12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1:35" ht="12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1:35" ht="12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1:35" ht="12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1:35" ht="12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1:35" ht="12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1:35" ht="12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1:35" ht="12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1:35" ht="12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1:35" ht="12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1:35" ht="12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1:35" ht="12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1:35" ht="12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</row>
    <row r="795" spans="1:35" ht="12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1:35" ht="12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1:35" ht="12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1:35" ht="12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1:35" ht="12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1:35" ht="12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</row>
    <row r="801" spans="1:35" ht="12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</row>
    <row r="802" spans="1:35" ht="12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1:35" ht="12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1:35" ht="12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1:35" ht="12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</row>
    <row r="806" spans="1:35" ht="12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1:35" ht="12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1:35" ht="12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  <row r="809" spans="1:35" ht="12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</row>
    <row r="810" spans="1:35" ht="12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</row>
    <row r="811" spans="1:35" ht="12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</row>
    <row r="812" spans="1:35" ht="12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</row>
    <row r="813" spans="1:35" ht="12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</row>
    <row r="814" spans="1:35" ht="12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</row>
    <row r="815" spans="1:35" ht="12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</row>
    <row r="816" spans="1:35" ht="12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</row>
    <row r="817" spans="1:35" ht="12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</row>
    <row r="818" spans="1:35" ht="12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</row>
    <row r="819" spans="1:35" ht="12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</row>
    <row r="820" spans="1:35" ht="12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</row>
    <row r="821" spans="1:35" ht="12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</row>
    <row r="822" spans="1:35" ht="12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</row>
    <row r="823" spans="1:35" ht="12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</row>
    <row r="824" spans="1:35" ht="12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</row>
    <row r="825" spans="1:35" ht="12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</row>
    <row r="826" spans="1:35" ht="12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</row>
    <row r="827" spans="1:35" ht="12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</row>
    <row r="828" spans="1:35" ht="12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</row>
    <row r="829" spans="1:35" ht="12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</row>
    <row r="830" spans="1:35" ht="12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</row>
    <row r="831" spans="1:35" ht="12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</row>
    <row r="832" spans="1:35" ht="12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</row>
    <row r="833" spans="1:35" ht="12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</row>
    <row r="834" spans="1:35" ht="12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</row>
    <row r="835" spans="1:35" ht="12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</row>
    <row r="836" spans="1:35" ht="12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</row>
    <row r="837" spans="1:35" ht="12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</row>
    <row r="838" spans="1:35" ht="12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</row>
    <row r="839" spans="1:35" ht="12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</row>
    <row r="840" spans="1:35" ht="12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</row>
    <row r="841" spans="1:35" ht="12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</row>
    <row r="842" spans="1:35" ht="12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</row>
    <row r="843" spans="1:35" ht="12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</row>
    <row r="844" spans="1:35" ht="12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</row>
    <row r="845" spans="1:35" ht="12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</row>
    <row r="846" spans="1:35" ht="12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</row>
    <row r="847" spans="1:35" ht="12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</row>
    <row r="848" spans="1:35" ht="12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</row>
    <row r="849" spans="1:35" ht="12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</row>
    <row r="850" spans="1:35" ht="12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</row>
    <row r="851" spans="1:35" ht="12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</row>
    <row r="852" spans="1:35" ht="12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</row>
    <row r="853" spans="1:35" ht="12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</row>
    <row r="854" spans="1:35" ht="12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</row>
    <row r="855" spans="1:35" ht="12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</row>
    <row r="856" spans="1:35" ht="12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</row>
    <row r="857" spans="1:35" ht="12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</row>
    <row r="858" spans="1:35" ht="12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</row>
    <row r="859" spans="1:35" ht="12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</row>
    <row r="860" spans="1:35" ht="12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</row>
    <row r="861" spans="1:35" ht="12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</row>
    <row r="862" spans="1:35" ht="12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</row>
    <row r="863" spans="1:35" ht="12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</row>
    <row r="864" spans="1:35" ht="12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</row>
    <row r="865" spans="1:35" ht="12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</row>
    <row r="866" spans="1:35" ht="12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</row>
    <row r="867" spans="1:35" ht="12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</row>
    <row r="868" spans="1:35" ht="12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</row>
    <row r="869" spans="1:35" ht="12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</row>
    <row r="870" spans="1:35" ht="12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</row>
    <row r="871" spans="1:35" ht="12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</row>
    <row r="872" spans="1:35" ht="12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</row>
    <row r="873" spans="1:35" ht="12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</row>
    <row r="874" spans="1:35" ht="12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</row>
    <row r="875" spans="1:35" ht="12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</row>
    <row r="876" spans="1:35" ht="12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</row>
    <row r="877" spans="1:35" ht="12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</row>
    <row r="878" spans="1:35" ht="12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</row>
    <row r="879" spans="1:35" ht="12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</row>
    <row r="880" spans="1:35" ht="12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</row>
    <row r="881" spans="1:35" ht="12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</row>
    <row r="882" spans="1:35" ht="12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</row>
    <row r="883" spans="1:35" ht="12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</row>
    <row r="884" spans="1:35" ht="12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</row>
    <row r="885" spans="1:35" ht="12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</row>
    <row r="886" spans="1:35" ht="12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</row>
    <row r="887" spans="1:35" ht="12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</row>
    <row r="888" spans="1:35" ht="12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</row>
    <row r="889" spans="1:35" ht="12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</row>
    <row r="890" spans="1:35" ht="12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</row>
    <row r="891" spans="1:35" ht="12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</row>
    <row r="892" spans="1:35" ht="12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</row>
    <row r="893" spans="1:35" ht="12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</row>
    <row r="894" spans="1:35" ht="12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</row>
    <row r="895" spans="1:35" ht="12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</row>
    <row r="896" spans="1:35" ht="12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</row>
    <row r="897" spans="1:35" ht="12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</row>
    <row r="898" spans="1:35" ht="12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</row>
    <row r="899" spans="1:35" ht="12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</row>
    <row r="900" spans="1:35" ht="12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</row>
    <row r="901" spans="1:35" ht="12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</row>
    <row r="902" spans="1:35" ht="12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</row>
    <row r="903" spans="1:35" ht="12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</row>
    <row r="904" spans="1:35" ht="12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</row>
    <row r="905" spans="1:35" ht="12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</row>
    <row r="906" spans="1:35" ht="12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</row>
    <row r="907" spans="1:35" ht="12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</row>
    <row r="908" spans="1:35" ht="12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</row>
    <row r="909" spans="1:35" ht="12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</row>
    <row r="910" spans="1:35" ht="12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</row>
    <row r="911" spans="1:35" ht="12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1:35" ht="12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1:35" ht="12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1:35" ht="12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1:35" ht="12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1:35" ht="12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  <row r="917" spans="1:35" ht="12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</row>
    <row r="918" spans="1:35" ht="12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</row>
    <row r="919" spans="1:35" ht="12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</row>
    <row r="920" spans="1:35" ht="12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</row>
    <row r="921" spans="1:35" ht="12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</row>
    <row r="922" spans="1:35" ht="12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</row>
    <row r="923" spans="1:35" ht="12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</row>
    <row r="924" spans="1:35" ht="12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</row>
    <row r="925" spans="1:35" ht="12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</row>
    <row r="926" spans="1:35" ht="12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</row>
    <row r="927" spans="1:35" ht="12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</row>
    <row r="928" spans="1:35" ht="12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</row>
    <row r="929" spans="1:35" ht="12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</row>
    <row r="930" spans="1:35" ht="12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</row>
    <row r="931" spans="1:35" ht="12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</row>
    <row r="932" spans="1:35" ht="12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</row>
    <row r="933" spans="1:35" ht="12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</row>
    <row r="934" spans="1:35" ht="12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</row>
    <row r="935" spans="1:35" ht="12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</row>
    <row r="936" spans="1:35" ht="12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</row>
    <row r="937" spans="1:35" ht="12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</row>
    <row r="938" spans="1:35" ht="12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</row>
    <row r="939" spans="1:35" ht="12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</row>
    <row r="940" spans="1:35" ht="12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</row>
    <row r="941" spans="1:35" ht="12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</row>
    <row r="942" spans="1:35" ht="12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</row>
    <row r="943" spans="1:35" ht="12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</row>
    <row r="944" spans="1:35" ht="12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</row>
    <row r="945" spans="1:35" ht="12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</row>
    <row r="946" spans="1:35" ht="12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</row>
    <row r="947" spans="1:35" ht="12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</row>
    <row r="948" spans="1:35" ht="12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</row>
    <row r="949" spans="1:35" ht="12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</row>
    <row r="950" spans="1:35" ht="12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</row>
    <row r="951" spans="1:35" ht="12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</row>
    <row r="952" spans="1:35" ht="12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</row>
    <row r="953" spans="1:35" ht="12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</row>
    <row r="954" spans="1:35" ht="12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</row>
    <row r="955" spans="1:35" ht="12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</row>
    <row r="956" spans="1:35" ht="12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</row>
    <row r="957" spans="1:35" ht="12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</row>
    <row r="958" spans="1:35" ht="12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</row>
    <row r="959" spans="1:35" ht="12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</row>
    <row r="960" spans="1:35" ht="12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</row>
    <row r="961" spans="1:35" ht="12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</row>
    <row r="962" spans="1:35" ht="12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</row>
    <row r="963" spans="1:35" ht="12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</row>
    <row r="964" spans="1:35" ht="12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</row>
    <row r="965" spans="1:35" ht="12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</row>
    <row r="966" spans="1:35" ht="12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</row>
    <row r="967" spans="1:35" ht="12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</row>
    <row r="968" spans="1:35" ht="12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</row>
    <row r="969" spans="1:35" ht="12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</row>
    <row r="970" spans="1:35" ht="12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</row>
    <row r="971" spans="1:35" ht="12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</row>
    <row r="972" spans="1:35" ht="12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</row>
    <row r="973" spans="1:35" ht="12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</row>
    <row r="974" spans="1:35" ht="12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</row>
    <row r="975" spans="1:35" ht="12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</row>
    <row r="976" spans="1:35" ht="12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</row>
    <row r="977" spans="1:35" ht="12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</row>
    <row r="978" spans="1:35" ht="12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</row>
    <row r="979" spans="1:35" ht="12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</row>
    <row r="980" spans="1:35" ht="12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</row>
    <row r="981" spans="1:35" ht="12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</row>
    <row r="982" spans="1:35" ht="12.7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</row>
    <row r="983" spans="1:35" ht="12.7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</row>
    <row r="984" spans="1:35" ht="12.7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</row>
    <row r="985" spans="1:35" ht="12.7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</row>
    <row r="986" spans="1:35" ht="12.7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</row>
    <row r="987" spans="1:35" ht="12.7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</row>
    <row r="988" spans="1:35" ht="12.7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</row>
    <row r="989" spans="1:35" ht="12.7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</row>
    <row r="990" spans="1:35" ht="12.7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</row>
    <row r="991" spans="1:35" ht="12.7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</row>
    <row r="992" spans="1:35" ht="12.7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</row>
    <row r="993" spans="1:35" ht="12.7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</row>
    <row r="994" spans="1:35" ht="12.7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</row>
    <row r="995" spans="1:35" ht="12.7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</row>
    <row r="996" spans="1:35" ht="12.7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</row>
    <row r="997" spans="1:35" ht="12.7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</row>
    <row r="998" spans="1:35" ht="12.7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</row>
    <row r="999" spans="1:35" ht="12.7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</row>
    <row r="1000" spans="1:35" ht="12.75" customHeight="1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</row>
    <row r="1001" spans="1:35" ht="12.75" customHeight="1" x14ac:dyDescent="0.3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</row>
  </sheetData>
  <sheetProtection algorithmName="SHA-512" hashValue="7JATN6PNqVrVvvg6rKmLDq/sejWoz0yUDTK2cewH3+pYsKaRnRaqpoBluH6qaMvvpIA/x+/SNikINMRsAFFr9Q==" saltValue="CyDY1UnazcpWlXVWBXMQ1Q==" spinCount="100000" sheet="1" objects="1" scenarios="1"/>
  <mergeCells count="4">
    <mergeCell ref="I1:K1"/>
    <mergeCell ref="L1:N1"/>
    <mergeCell ref="G33:I33"/>
    <mergeCell ref="J33:K33"/>
  </mergeCells>
  <pageMargins left="0.7" right="0.7" top="0.75" bottom="0.7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  <pageSetUpPr fitToPage="1"/>
  </sheetPr>
  <dimension ref="A1:AB1000"/>
  <sheetViews>
    <sheetView workbookViewId="0"/>
  </sheetViews>
  <sheetFormatPr baseColWidth="10" defaultColWidth="14.3984375" defaultRowHeight="15" customHeight="1" x14ac:dyDescent="0.3"/>
  <cols>
    <col min="1" max="1" width="5.8984375" customWidth="1"/>
    <col min="2" max="2" width="18.09765625" customWidth="1"/>
    <col min="3" max="3" width="10.69921875" customWidth="1"/>
    <col min="4" max="4" width="18" customWidth="1"/>
    <col min="5" max="6" width="8.69921875" customWidth="1"/>
    <col min="7" max="7" width="12.3984375" customWidth="1"/>
    <col min="8" max="8" width="33" customWidth="1"/>
    <col min="9" max="10" width="12.59765625" customWidth="1"/>
    <col min="11" max="24" width="10" customWidth="1"/>
    <col min="25" max="28" width="17.296875" customWidth="1"/>
  </cols>
  <sheetData>
    <row r="1" spans="1:28" ht="12" customHeight="1" x14ac:dyDescent="0.35">
      <c r="A1" s="973" t="s">
        <v>92</v>
      </c>
      <c r="B1" s="953"/>
      <c r="C1" s="811">
        <v>20000</v>
      </c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</row>
    <row r="2" spans="1:28" ht="12" customHeight="1" x14ac:dyDescent="0.35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</row>
    <row r="3" spans="1:28" ht="12" customHeight="1" x14ac:dyDescent="0.35">
      <c r="A3" s="812" t="s">
        <v>610</v>
      </c>
      <c r="B3" s="812" t="s">
        <v>611</v>
      </c>
      <c r="C3" s="813" t="s">
        <v>612</v>
      </c>
      <c r="D3" s="813" t="s">
        <v>613</v>
      </c>
      <c r="E3" s="813" t="s">
        <v>614</v>
      </c>
      <c r="F3" s="813" t="s">
        <v>615</v>
      </c>
      <c r="G3" s="814" t="s">
        <v>616</v>
      </c>
      <c r="H3" s="813" t="s">
        <v>617</v>
      </c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</row>
    <row r="4" spans="1:28" ht="12" customHeight="1" x14ac:dyDescent="0.3">
      <c r="A4" s="375">
        <v>2025</v>
      </c>
      <c r="B4" s="313" t="s">
        <v>338</v>
      </c>
      <c r="C4" s="815">
        <v>359816</v>
      </c>
      <c r="D4" s="816">
        <v>292358</v>
      </c>
      <c r="E4" s="815"/>
      <c r="F4" s="209">
        <f>Program!G64</f>
        <v>11400</v>
      </c>
      <c r="G4" s="815">
        <f t="shared" ref="G4:G9" si="0">C4+E4+F4</f>
        <v>371216</v>
      </c>
      <c r="H4" s="313" t="s">
        <v>618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2" customHeight="1" x14ac:dyDescent="0.3">
      <c r="A5" s="223">
        <v>2028</v>
      </c>
      <c r="B5" s="297" t="s">
        <v>619</v>
      </c>
      <c r="C5" s="66">
        <v>1546169</v>
      </c>
      <c r="D5" s="66"/>
      <c r="E5" s="66">
        <v>16327.830000000027</v>
      </c>
      <c r="F5" s="18">
        <f>Program!N11</f>
        <v>169826.02474466694</v>
      </c>
      <c r="G5" s="66">
        <f t="shared" si="0"/>
        <v>1732322.854744667</v>
      </c>
      <c r="H5" s="750" t="s">
        <v>620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2" customHeight="1" x14ac:dyDescent="0.3">
      <c r="A6" s="223">
        <v>2029</v>
      </c>
      <c r="B6" s="297" t="s">
        <v>621</v>
      </c>
      <c r="C6" s="66">
        <v>93446.6</v>
      </c>
      <c r="D6" s="66"/>
      <c r="E6" s="66"/>
      <c r="F6" s="18"/>
      <c r="G6" s="66">
        <f t="shared" si="0"/>
        <v>93446.6</v>
      </c>
      <c r="H6" s="75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2" customHeight="1" x14ac:dyDescent="0.3">
      <c r="A7" s="223">
        <v>2040</v>
      </c>
      <c r="B7" s="297" t="s">
        <v>622</v>
      </c>
      <c r="C7" s="66">
        <v>643187</v>
      </c>
      <c r="D7" s="66">
        <v>643187</v>
      </c>
      <c r="E7" s="66"/>
      <c r="F7" s="18"/>
      <c r="G7" s="66">
        <f t="shared" si="0"/>
        <v>643187</v>
      </c>
      <c r="H7" s="750" t="s">
        <v>623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" customHeight="1" x14ac:dyDescent="0.3">
      <c r="A8" s="223">
        <v>2041</v>
      </c>
      <c r="B8" s="297" t="s">
        <v>624</v>
      </c>
      <c r="C8" s="66">
        <v>994534</v>
      </c>
      <c r="D8" s="66"/>
      <c r="E8" s="66">
        <v>7500</v>
      </c>
      <c r="F8" s="18">
        <f>0.25*C1</f>
        <v>5000</v>
      </c>
      <c r="G8" s="66">
        <f t="shared" si="0"/>
        <v>1007034</v>
      </c>
      <c r="H8" s="750" t="s">
        <v>625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2" customHeight="1" x14ac:dyDescent="0.3">
      <c r="A9" s="389">
        <v>2060</v>
      </c>
      <c r="B9" s="352" t="s">
        <v>626</v>
      </c>
      <c r="C9" s="817">
        <v>475740</v>
      </c>
      <c r="D9" s="817"/>
      <c r="E9" s="817">
        <v>10885.220000000019</v>
      </c>
      <c r="F9" s="18">
        <f>-Sentralt!F159</f>
        <v>-10000</v>
      </c>
      <c r="G9" s="817">
        <f t="shared" si="0"/>
        <v>476625.22000000003</v>
      </c>
      <c r="H9" s="818" t="s">
        <v>620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2" customHeight="1" x14ac:dyDescent="0.35">
      <c r="A10" s="118"/>
      <c r="B10" s="819" t="s">
        <v>136</v>
      </c>
      <c r="C10" s="820">
        <f>SUM(C4:C9)</f>
        <v>4112892.6</v>
      </c>
      <c r="D10" s="820"/>
      <c r="E10" s="820">
        <f>SUM(E4:E9)</f>
        <v>34713.050000000047</v>
      </c>
      <c r="F10" s="820"/>
      <c r="G10" s="821">
        <f>SUM(G4:G9)</f>
        <v>4323831.6747446675</v>
      </c>
      <c r="H10" s="82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</row>
    <row r="11" spans="1:28" ht="12" customHeight="1" x14ac:dyDescent="0.35">
      <c r="A11" s="63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</row>
    <row r="12" spans="1:28" ht="12" customHeight="1" x14ac:dyDescent="0.35">
      <c r="A12" s="823">
        <v>2050</v>
      </c>
      <c r="B12" s="824" t="s">
        <v>627</v>
      </c>
      <c r="C12" s="825">
        <v>2213062.63</v>
      </c>
      <c r="D12" s="825"/>
      <c r="E12" s="825">
        <v>333467.16461000009</v>
      </c>
      <c r="F12" s="825"/>
      <c r="G12" s="826">
        <f>C12+E12+F12</f>
        <v>2546529.7946100002</v>
      </c>
      <c r="H12" s="827" t="s">
        <v>628</v>
      </c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</row>
    <row r="13" spans="1:28" ht="12" customHeight="1" x14ac:dyDescent="0.35">
      <c r="A13" s="632"/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</row>
    <row r="14" spans="1:28" ht="12" customHeight="1" x14ac:dyDescent="0.35">
      <c r="A14" s="632"/>
      <c r="B14" s="632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</row>
    <row r="15" spans="1:28" ht="12" customHeight="1" x14ac:dyDescent="0.35">
      <c r="A15" s="632"/>
      <c r="B15" s="632"/>
      <c r="C15" s="632"/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</row>
    <row r="16" spans="1:28" ht="12" customHeight="1" x14ac:dyDescent="0.35">
      <c r="A16" s="632"/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</row>
    <row r="17" spans="1:24" ht="12" customHeight="1" x14ac:dyDescent="0.35">
      <c r="A17" s="632"/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2"/>
      <c r="R17" s="632"/>
      <c r="S17" s="632"/>
      <c r="T17" s="632"/>
      <c r="U17" s="632"/>
      <c r="V17" s="632"/>
      <c r="W17" s="632"/>
      <c r="X17" s="632"/>
    </row>
    <row r="18" spans="1:24" ht="12" customHeight="1" x14ac:dyDescent="0.35">
      <c r="A18" s="632"/>
      <c r="B18" s="632"/>
      <c r="C18" s="632"/>
      <c r="D18" s="632"/>
      <c r="E18" s="632"/>
      <c r="F18" s="632"/>
      <c r="G18" s="632"/>
      <c r="H18" s="632"/>
      <c r="I18" s="632"/>
      <c r="J18" s="632"/>
      <c r="K18" s="632"/>
      <c r="L18" s="632"/>
      <c r="M18" s="632"/>
      <c r="N18" s="632"/>
      <c r="O18" s="632"/>
      <c r="P18" s="632"/>
      <c r="Q18" s="632"/>
      <c r="R18" s="632"/>
      <c r="S18" s="632"/>
      <c r="T18" s="632"/>
      <c r="U18" s="632"/>
      <c r="V18" s="632"/>
      <c r="W18" s="632"/>
      <c r="X18" s="632"/>
    </row>
    <row r="19" spans="1:24" ht="12" customHeight="1" x14ac:dyDescent="0.35">
      <c r="A19" s="632"/>
      <c r="B19" s="632"/>
      <c r="C19" s="632"/>
      <c r="D19" s="632"/>
      <c r="E19" s="632"/>
      <c r="F19" s="632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</row>
    <row r="20" spans="1:24" ht="12" customHeight="1" x14ac:dyDescent="0.35">
      <c r="A20" s="632"/>
      <c r="B20" s="632"/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</row>
    <row r="21" spans="1:24" ht="12" customHeight="1" x14ac:dyDescent="0.35">
      <c r="A21" s="632"/>
      <c r="B21" s="632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</row>
    <row r="22" spans="1:24" ht="12" customHeight="1" x14ac:dyDescent="0.35">
      <c r="A22" s="632"/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</row>
    <row r="23" spans="1:24" ht="12" customHeight="1" x14ac:dyDescent="0.35">
      <c r="A23" s="632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</row>
    <row r="24" spans="1:24" ht="12" customHeight="1" x14ac:dyDescent="0.35">
      <c r="A24" s="632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</row>
    <row r="25" spans="1:24" ht="12" customHeight="1" x14ac:dyDescent="0.35">
      <c r="A25" s="632"/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</row>
    <row r="26" spans="1:24" ht="12" customHeight="1" x14ac:dyDescent="0.35">
      <c r="A26" s="632"/>
      <c r="B26" s="632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</row>
    <row r="27" spans="1:24" ht="12" customHeight="1" x14ac:dyDescent="0.35">
      <c r="A27" s="632"/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</row>
    <row r="28" spans="1:24" ht="12" customHeight="1" x14ac:dyDescent="0.35">
      <c r="A28" s="632"/>
      <c r="B28" s="632"/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</row>
    <row r="29" spans="1:24" ht="12" customHeight="1" x14ac:dyDescent="0.35">
      <c r="A29" s="632"/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</row>
    <row r="30" spans="1:24" ht="12" customHeight="1" x14ac:dyDescent="0.35">
      <c r="A30" s="632"/>
      <c r="B30" s="632"/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632"/>
      <c r="T30" s="632"/>
      <c r="U30" s="632"/>
      <c r="V30" s="632"/>
      <c r="W30" s="632"/>
      <c r="X30" s="632"/>
    </row>
    <row r="31" spans="1:24" ht="12" customHeight="1" x14ac:dyDescent="0.35">
      <c r="A31" s="632"/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</row>
    <row r="32" spans="1:24" ht="12" customHeight="1" x14ac:dyDescent="0.35">
      <c r="A32" s="632"/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</row>
    <row r="33" spans="1:24" ht="12" customHeight="1" x14ac:dyDescent="0.35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</row>
    <row r="34" spans="1:24" ht="12" customHeight="1" x14ac:dyDescent="0.35">
      <c r="A34" s="632"/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</row>
    <row r="35" spans="1:24" ht="12" customHeight="1" x14ac:dyDescent="0.35">
      <c r="A35" s="632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</row>
    <row r="36" spans="1:24" ht="12" customHeight="1" x14ac:dyDescent="0.35">
      <c r="A36" s="632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</row>
    <row r="37" spans="1:24" ht="12" customHeight="1" x14ac:dyDescent="0.35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</row>
    <row r="38" spans="1:24" ht="12" customHeight="1" x14ac:dyDescent="0.35">
      <c r="A38" s="632"/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</row>
    <row r="39" spans="1:24" ht="12" customHeight="1" x14ac:dyDescent="0.35">
      <c r="A39" s="632"/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</row>
    <row r="40" spans="1:24" ht="12" customHeight="1" x14ac:dyDescent="0.35">
      <c r="A40" s="632"/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</row>
    <row r="41" spans="1:24" ht="12" customHeight="1" x14ac:dyDescent="0.35">
      <c r="A41" s="632"/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</row>
    <row r="42" spans="1:24" ht="12" customHeight="1" x14ac:dyDescent="0.35">
      <c r="A42" s="632"/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</row>
    <row r="43" spans="1:24" ht="12" customHeight="1" x14ac:dyDescent="0.35">
      <c r="A43" s="632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</row>
    <row r="44" spans="1:24" ht="12" customHeight="1" x14ac:dyDescent="0.35">
      <c r="A44" s="632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</row>
    <row r="45" spans="1:24" ht="12" customHeight="1" x14ac:dyDescent="0.35">
      <c r="A45" s="632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</row>
    <row r="46" spans="1:24" ht="12" customHeight="1" x14ac:dyDescent="0.35">
      <c r="A46" s="632"/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</row>
    <row r="47" spans="1:24" ht="12" customHeight="1" x14ac:dyDescent="0.35">
      <c r="A47" s="632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</row>
    <row r="48" spans="1:24" ht="12" customHeight="1" x14ac:dyDescent="0.35">
      <c r="A48" s="632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</row>
    <row r="49" spans="1:24" ht="12" customHeight="1" x14ac:dyDescent="0.35">
      <c r="A49" s="632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</row>
    <row r="50" spans="1:24" ht="12" customHeight="1" x14ac:dyDescent="0.35">
      <c r="A50" s="632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</row>
    <row r="51" spans="1:24" ht="12" customHeight="1" x14ac:dyDescent="0.35">
      <c r="A51" s="632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</row>
    <row r="52" spans="1:24" ht="12" customHeight="1" x14ac:dyDescent="0.35">
      <c r="A52" s="632"/>
      <c r="B52" s="632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</row>
    <row r="53" spans="1:24" ht="12" customHeight="1" x14ac:dyDescent="0.35">
      <c r="A53" s="632"/>
      <c r="B53" s="632"/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</row>
    <row r="54" spans="1:24" ht="12" customHeight="1" x14ac:dyDescent="0.35">
      <c r="A54" s="632"/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</row>
    <row r="55" spans="1:24" ht="12" customHeight="1" x14ac:dyDescent="0.35">
      <c r="A55" s="632"/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</row>
    <row r="56" spans="1:24" ht="12" customHeight="1" x14ac:dyDescent="0.35">
      <c r="A56" s="632"/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</row>
    <row r="57" spans="1:24" ht="12" customHeight="1" x14ac:dyDescent="0.35">
      <c r="A57" s="632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</row>
    <row r="58" spans="1:24" ht="12" customHeight="1" x14ac:dyDescent="0.35">
      <c r="A58" s="632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</row>
    <row r="59" spans="1:24" ht="12" customHeight="1" x14ac:dyDescent="0.35">
      <c r="A59" s="632"/>
      <c r="B59" s="632"/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2"/>
      <c r="X59" s="632"/>
    </row>
    <row r="60" spans="1:24" ht="12" customHeight="1" x14ac:dyDescent="0.35">
      <c r="A60" s="632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</row>
    <row r="61" spans="1:24" ht="12" customHeight="1" x14ac:dyDescent="0.35">
      <c r="A61" s="632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</row>
    <row r="62" spans="1:24" ht="12" customHeight="1" x14ac:dyDescent="0.35">
      <c r="A62" s="632"/>
      <c r="B62" s="632"/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2"/>
      <c r="X62" s="632"/>
    </row>
    <row r="63" spans="1:24" ht="12" customHeight="1" x14ac:dyDescent="0.35">
      <c r="A63" s="632"/>
      <c r="B63" s="632"/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</row>
    <row r="64" spans="1:24" ht="12" customHeight="1" x14ac:dyDescent="0.35">
      <c r="A64" s="632"/>
      <c r="B64" s="632"/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</row>
    <row r="65" spans="1:24" ht="12" customHeight="1" x14ac:dyDescent="0.35">
      <c r="A65" s="632"/>
      <c r="B65" s="632"/>
      <c r="C65" s="632"/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</row>
    <row r="66" spans="1:24" ht="12" customHeight="1" x14ac:dyDescent="0.35">
      <c r="A66" s="632"/>
      <c r="B66" s="632"/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2"/>
    </row>
    <row r="67" spans="1:24" ht="12" customHeight="1" x14ac:dyDescent="0.35">
      <c r="A67" s="632"/>
      <c r="B67" s="632"/>
      <c r="C67" s="632"/>
      <c r="D67" s="632"/>
      <c r="E67" s="632"/>
      <c r="F67" s="632"/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2"/>
      <c r="S67" s="632"/>
      <c r="T67" s="632"/>
      <c r="U67" s="632"/>
      <c r="V67" s="632"/>
      <c r="W67" s="632"/>
      <c r="X67" s="632"/>
    </row>
    <row r="68" spans="1:24" ht="12" customHeight="1" x14ac:dyDescent="0.35">
      <c r="A68" s="632"/>
      <c r="B68" s="632"/>
      <c r="C68" s="632"/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2"/>
      <c r="P68" s="632"/>
      <c r="Q68" s="632"/>
      <c r="R68" s="632"/>
      <c r="S68" s="632"/>
      <c r="T68" s="632"/>
      <c r="U68" s="632"/>
      <c r="V68" s="632"/>
      <c r="W68" s="632"/>
      <c r="X68" s="632"/>
    </row>
    <row r="69" spans="1:24" ht="12" customHeight="1" x14ac:dyDescent="0.35">
      <c r="A69" s="632"/>
      <c r="B69" s="632"/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T69" s="632"/>
      <c r="U69" s="632"/>
      <c r="V69" s="632"/>
      <c r="W69" s="632"/>
      <c r="X69" s="632"/>
    </row>
    <row r="70" spans="1:24" ht="12" customHeight="1" x14ac:dyDescent="0.35">
      <c r="A70" s="632"/>
      <c r="B70" s="632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</row>
    <row r="71" spans="1:24" ht="12" customHeight="1" x14ac:dyDescent="0.35">
      <c r="A71" s="632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</row>
    <row r="72" spans="1:24" ht="12" customHeight="1" x14ac:dyDescent="0.35">
      <c r="A72" s="632"/>
      <c r="B72" s="632"/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  <c r="W72" s="632"/>
      <c r="X72" s="632"/>
    </row>
    <row r="73" spans="1:24" ht="12" customHeight="1" x14ac:dyDescent="0.35">
      <c r="A73" s="632"/>
      <c r="B73" s="632"/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2"/>
      <c r="T73" s="632"/>
      <c r="U73" s="632"/>
      <c r="V73" s="632"/>
      <c r="W73" s="632"/>
      <c r="X73" s="632"/>
    </row>
    <row r="74" spans="1:24" ht="12" customHeight="1" x14ac:dyDescent="0.35">
      <c r="A74" s="632"/>
      <c r="B74" s="632"/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</row>
    <row r="75" spans="1:24" ht="12" customHeight="1" x14ac:dyDescent="0.35">
      <c r="A75" s="632"/>
      <c r="B75" s="632"/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</row>
    <row r="76" spans="1:24" ht="12" customHeight="1" x14ac:dyDescent="0.35">
      <c r="A76" s="632"/>
      <c r="B76" s="632"/>
      <c r="C76" s="632"/>
      <c r="D76" s="632"/>
      <c r="E76" s="632"/>
      <c r="F76" s="632"/>
      <c r="G76" s="632"/>
      <c r="H76" s="632"/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32"/>
      <c r="U76" s="632"/>
      <c r="V76" s="632"/>
      <c r="W76" s="632"/>
      <c r="X76" s="632"/>
    </row>
    <row r="77" spans="1:24" ht="12" customHeight="1" x14ac:dyDescent="0.35">
      <c r="A77" s="632"/>
      <c r="B77" s="632"/>
      <c r="C77" s="632"/>
      <c r="D77" s="632"/>
      <c r="E77" s="632"/>
      <c r="F77" s="632"/>
      <c r="G77" s="632"/>
      <c r="H77" s="632"/>
      <c r="I77" s="632"/>
      <c r="J77" s="632"/>
      <c r="K77" s="632"/>
      <c r="L77" s="632"/>
      <c r="M77" s="632"/>
      <c r="N77" s="632"/>
      <c r="O77" s="632"/>
      <c r="P77" s="632"/>
      <c r="Q77" s="632"/>
      <c r="R77" s="632"/>
      <c r="S77" s="632"/>
      <c r="T77" s="632"/>
      <c r="U77" s="632"/>
      <c r="V77" s="632"/>
      <c r="W77" s="632"/>
      <c r="X77" s="632"/>
    </row>
    <row r="78" spans="1:24" ht="12" customHeight="1" x14ac:dyDescent="0.35">
      <c r="A78" s="632"/>
      <c r="B78" s="632"/>
      <c r="C78" s="632"/>
      <c r="D78" s="632"/>
      <c r="E78" s="632"/>
      <c r="F78" s="632"/>
      <c r="G78" s="632"/>
      <c r="H78" s="632"/>
      <c r="I78" s="632"/>
      <c r="J78" s="632"/>
      <c r="K78" s="632"/>
      <c r="L78" s="632"/>
      <c r="M78" s="632"/>
      <c r="N78" s="632"/>
      <c r="O78" s="632"/>
      <c r="P78" s="632"/>
      <c r="Q78" s="632"/>
      <c r="R78" s="632"/>
      <c r="S78" s="632"/>
      <c r="T78" s="632"/>
      <c r="U78" s="632"/>
      <c r="V78" s="632"/>
      <c r="W78" s="632"/>
      <c r="X78" s="632"/>
    </row>
    <row r="79" spans="1:24" ht="12" customHeight="1" x14ac:dyDescent="0.35">
      <c r="A79" s="632"/>
      <c r="B79" s="632"/>
      <c r="C79" s="632"/>
      <c r="D79" s="632"/>
      <c r="E79" s="632"/>
      <c r="F79" s="632"/>
      <c r="G79" s="632"/>
      <c r="H79" s="632"/>
      <c r="I79" s="632"/>
      <c r="J79" s="632"/>
      <c r="K79" s="632"/>
      <c r="L79" s="632"/>
      <c r="M79" s="632"/>
      <c r="N79" s="632"/>
      <c r="O79" s="632"/>
      <c r="P79" s="632"/>
      <c r="Q79" s="632"/>
      <c r="R79" s="632"/>
      <c r="S79" s="632"/>
      <c r="T79" s="632"/>
      <c r="U79" s="632"/>
      <c r="V79" s="632"/>
      <c r="W79" s="632"/>
      <c r="X79" s="632"/>
    </row>
    <row r="80" spans="1:24" ht="12" customHeight="1" x14ac:dyDescent="0.35">
      <c r="A80" s="632"/>
      <c r="B80" s="632"/>
      <c r="C80" s="632"/>
      <c r="D80" s="632"/>
      <c r="E80" s="632"/>
      <c r="F80" s="632"/>
      <c r="G80" s="632"/>
      <c r="H80" s="632"/>
      <c r="I80" s="632"/>
      <c r="J80" s="632"/>
      <c r="K80" s="632"/>
      <c r="L80" s="632"/>
      <c r="M80" s="632"/>
      <c r="N80" s="632"/>
      <c r="O80" s="632"/>
      <c r="P80" s="632"/>
      <c r="Q80" s="632"/>
      <c r="R80" s="632"/>
      <c r="S80" s="632"/>
      <c r="T80" s="632"/>
      <c r="U80" s="632"/>
      <c r="V80" s="632"/>
      <c r="W80" s="632"/>
      <c r="X80" s="632"/>
    </row>
    <row r="81" spans="1:24" ht="12" customHeight="1" x14ac:dyDescent="0.35">
      <c r="A81" s="632"/>
      <c r="B81" s="632"/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32"/>
      <c r="V81" s="632"/>
      <c r="W81" s="632"/>
      <c r="X81" s="632"/>
    </row>
    <row r="82" spans="1:24" ht="12" customHeight="1" x14ac:dyDescent="0.35">
      <c r="A82" s="632"/>
      <c r="B82" s="632"/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32"/>
      <c r="T82" s="632"/>
      <c r="U82" s="632"/>
      <c r="V82" s="632"/>
      <c r="W82" s="632"/>
      <c r="X82" s="632"/>
    </row>
    <row r="83" spans="1:24" ht="12" customHeight="1" x14ac:dyDescent="0.35">
      <c r="A83" s="632"/>
      <c r="B83" s="632"/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2"/>
      <c r="P83" s="632"/>
      <c r="Q83" s="632"/>
      <c r="R83" s="632"/>
      <c r="S83" s="632"/>
      <c r="T83" s="632"/>
      <c r="U83" s="632"/>
      <c r="V83" s="632"/>
      <c r="W83" s="632"/>
      <c r="X83" s="632"/>
    </row>
    <row r="84" spans="1:24" ht="12" customHeight="1" x14ac:dyDescent="0.35">
      <c r="A84" s="632"/>
      <c r="B84" s="632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</row>
    <row r="85" spans="1:24" ht="12" customHeight="1" x14ac:dyDescent="0.35">
      <c r="A85" s="632"/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32"/>
      <c r="V85" s="632"/>
      <c r="W85" s="632"/>
      <c r="X85" s="632"/>
    </row>
    <row r="86" spans="1:24" ht="12" customHeight="1" x14ac:dyDescent="0.35">
      <c r="A86" s="632"/>
      <c r="B86" s="632"/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</row>
    <row r="87" spans="1:24" ht="12" customHeight="1" x14ac:dyDescent="0.35">
      <c r="A87" s="632"/>
      <c r="B87" s="632"/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632"/>
      <c r="Q87" s="632"/>
      <c r="R87" s="632"/>
      <c r="S87" s="632"/>
      <c r="T87" s="632"/>
      <c r="U87" s="632"/>
      <c r="V87" s="632"/>
      <c r="W87" s="632"/>
      <c r="X87" s="632"/>
    </row>
    <row r="88" spans="1:24" ht="12" customHeight="1" x14ac:dyDescent="0.35">
      <c r="A88" s="632"/>
      <c r="B88" s="632"/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632"/>
      <c r="Q88" s="632"/>
      <c r="R88" s="632"/>
      <c r="S88" s="632"/>
      <c r="T88" s="632"/>
      <c r="U88" s="632"/>
      <c r="V88" s="632"/>
      <c r="W88" s="632"/>
      <c r="X88" s="632"/>
    </row>
    <row r="89" spans="1:24" ht="12" customHeight="1" x14ac:dyDescent="0.35">
      <c r="A89" s="632"/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32"/>
      <c r="U89" s="632"/>
      <c r="V89" s="632"/>
      <c r="W89" s="632"/>
      <c r="X89" s="632"/>
    </row>
    <row r="90" spans="1:24" ht="12" customHeight="1" x14ac:dyDescent="0.35">
      <c r="A90" s="632"/>
      <c r="B90" s="632"/>
      <c r="C90" s="632"/>
      <c r="D90" s="632"/>
      <c r="E90" s="632"/>
      <c r="F90" s="632"/>
      <c r="G90" s="632"/>
      <c r="H90" s="632"/>
      <c r="I90" s="632"/>
      <c r="J90" s="632"/>
      <c r="K90" s="632"/>
      <c r="L90" s="632"/>
      <c r="M90" s="632"/>
      <c r="N90" s="632"/>
      <c r="O90" s="632"/>
      <c r="P90" s="632"/>
      <c r="Q90" s="632"/>
      <c r="R90" s="632"/>
      <c r="S90" s="632"/>
      <c r="T90" s="632"/>
      <c r="U90" s="632"/>
      <c r="V90" s="632"/>
      <c r="W90" s="632"/>
      <c r="X90" s="632"/>
    </row>
    <row r="91" spans="1:24" ht="12" customHeight="1" x14ac:dyDescent="0.35">
      <c r="A91" s="632"/>
      <c r="B91" s="632"/>
      <c r="C91" s="632"/>
      <c r="D91" s="632"/>
      <c r="E91" s="632"/>
      <c r="F91" s="632"/>
      <c r="G91" s="632"/>
      <c r="H91" s="632"/>
      <c r="I91" s="632"/>
      <c r="J91" s="632"/>
      <c r="K91" s="632"/>
      <c r="L91" s="632"/>
      <c r="M91" s="632"/>
      <c r="N91" s="632"/>
      <c r="O91" s="632"/>
      <c r="P91" s="632"/>
      <c r="Q91" s="632"/>
      <c r="R91" s="632"/>
      <c r="S91" s="632"/>
      <c r="T91" s="632"/>
      <c r="U91" s="632"/>
      <c r="V91" s="632"/>
      <c r="W91" s="632"/>
      <c r="X91" s="632"/>
    </row>
    <row r="92" spans="1:24" ht="12" customHeight="1" x14ac:dyDescent="0.35">
      <c r="A92" s="632"/>
      <c r="B92" s="632"/>
      <c r="C92" s="632"/>
      <c r="D92" s="632"/>
      <c r="E92" s="632"/>
      <c r="F92" s="632"/>
      <c r="G92" s="632"/>
      <c r="H92" s="632"/>
      <c r="I92" s="632"/>
      <c r="J92" s="632"/>
      <c r="K92" s="632"/>
      <c r="L92" s="632"/>
      <c r="M92" s="632"/>
      <c r="N92" s="632"/>
      <c r="O92" s="632"/>
      <c r="P92" s="632"/>
      <c r="Q92" s="632"/>
      <c r="R92" s="632"/>
      <c r="S92" s="632"/>
      <c r="T92" s="632"/>
      <c r="U92" s="632"/>
      <c r="V92" s="632"/>
      <c r="W92" s="632"/>
      <c r="X92" s="632"/>
    </row>
    <row r="93" spans="1:24" ht="12" customHeight="1" x14ac:dyDescent="0.35">
      <c r="A93" s="632"/>
      <c r="B93" s="632"/>
      <c r="C93" s="632"/>
      <c r="D93" s="632"/>
      <c r="E93" s="632"/>
      <c r="F93" s="632"/>
      <c r="G93" s="632"/>
      <c r="H93" s="632"/>
      <c r="I93" s="632"/>
      <c r="J93" s="632"/>
      <c r="K93" s="632"/>
      <c r="L93" s="632"/>
      <c r="M93" s="632"/>
      <c r="N93" s="632"/>
      <c r="O93" s="632"/>
      <c r="P93" s="632"/>
      <c r="Q93" s="632"/>
      <c r="R93" s="632"/>
      <c r="S93" s="632"/>
      <c r="T93" s="632"/>
      <c r="U93" s="632"/>
      <c r="V93" s="632"/>
      <c r="W93" s="632"/>
      <c r="X93" s="632"/>
    </row>
    <row r="94" spans="1:24" ht="12" customHeight="1" x14ac:dyDescent="0.35">
      <c r="A94" s="632"/>
      <c r="B94" s="632"/>
      <c r="C94" s="632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  <c r="V94" s="632"/>
      <c r="W94" s="632"/>
      <c r="X94" s="632"/>
    </row>
    <row r="95" spans="1:24" ht="12" customHeight="1" x14ac:dyDescent="0.35">
      <c r="A95" s="632"/>
      <c r="B95" s="632"/>
      <c r="C95" s="632"/>
      <c r="D95" s="632"/>
      <c r="E95" s="632"/>
      <c r="F95" s="632"/>
      <c r="G95" s="632"/>
      <c r="H95" s="632"/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2"/>
      <c r="T95" s="632"/>
      <c r="U95" s="632"/>
      <c r="V95" s="632"/>
      <c r="W95" s="632"/>
      <c r="X95" s="632"/>
    </row>
    <row r="96" spans="1:24" ht="12" customHeight="1" x14ac:dyDescent="0.35">
      <c r="A96" s="632"/>
      <c r="B96" s="632"/>
      <c r="C96" s="632"/>
      <c r="D96" s="632"/>
      <c r="E96" s="632"/>
      <c r="F96" s="632"/>
      <c r="G96" s="632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</row>
    <row r="97" spans="1:24" ht="12" customHeight="1" x14ac:dyDescent="0.35">
      <c r="A97" s="632"/>
      <c r="B97" s="632"/>
      <c r="C97" s="632"/>
      <c r="D97" s="632"/>
      <c r="E97" s="632"/>
      <c r="F97" s="632"/>
      <c r="G97" s="632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32"/>
      <c r="T97" s="632"/>
      <c r="U97" s="632"/>
      <c r="V97" s="632"/>
      <c r="W97" s="632"/>
      <c r="X97" s="632"/>
    </row>
    <row r="98" spans="1:24" ht="12" customHeight="1" x14ac:dyDescent="0.35">
      <c r="A98" s="632"/>
      <c r="B98" s="632"/>
      <c r="C98" s="632"/>
      <c r="D98" s="632"/>
      <c r="E98" s="632"/>
      <c r="F98" s="632"/>
      <c r="G98" s="632"/>
      <c r="H98" s="632"/>
      <c r="I98" s="632"/>
      <c r="J98" s="632"/>
      <c r="K98" s="632"/>
      <c r="L98" s="632"/>
      <c r="M98" s="632"/>
      <c r="N98" s="632"/>
      <c r="O98" s="632"/>
      <c r="P98" s="632"/>
      <c r="Q98" s="632"/>
      <c r="R98" s="632"/>
      <c r="S98" s="632"/>
      <c r="T98" s="632"/>
      <c r="U98" s="632"/>
      <c r="V98" s="632"/>
      <c r="W98" s="632"/>
      <c r="X98" s="632"/>
    </row>
    <row r="99" spans="1:24" ht="12" customHeight="1" x14ac:dyDescent="0.35">
      <c r="A99" s="632"/>
      <c r="B99" s="632"/>
      <c r="C99" s="632"/>
      <c r="D99" s="632"/>
      <c r="E99" s="632"/>
      <c r="F99" s="632"/>
      <c r="G99" s="632"/>
      <c r="H99" s="632"/>
      <c r="I99" s="632"/>
      <c r="J99" s="632"/>
      <c r="K99" s="632"/>
      <c r="L99" s="632"/>
      <c r="M99" s="632"/>
      <c r="N99" s="632"/>
      <c r="O99" s="632"/>
      <c r="P99" s="632"/>
      <c r="Q99" s="632"/>
      <c r="R99" s="632"/>
      <c r="S99" s="632"/>
      <c r="T99" s="632"/>
      <c r="U99" s="632"/>
      <c r="V99" s="632"/>
      <c r="W99" s="632"/>
      <c r="X99" s="632"/>
    </row>
    <row r="100" spans="1:24" ht="12" customHeight="1" x14ac:dyDescent="0.35">
      <c r="A100" s="632"/>
      <c r="B100" s="632"/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</row>
    <row r="101" spans="1:24" ht="12" customHeight="1" x14ac:dyDescent="0.35">
      <c r="A101" s="632"/>
      <c r="B101" s="632"/>
      <c r="C101" s="632"/>
      <c r="D101" s="632"/>
      <c r="E101" s="632"/>
      <c r="F101" s="632"/>
      <c r="G101" s="63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632"/>
      <c r="U101" s="632"/>
      <c r="V101" s="632"/>
      <c r="W101" s="632"/>
      <c r="X101" s="632"/>
    </row>
    <row r="102" spans="1:24" ht="12" customHeight="1" x14ac:dyDescent="0.35">
      <c r="A102" s="632"/>
      <c r="B102" s="632"/>
      <c r="C102" s="632"/>
      <c r="D102" s="632"/>
      <c r="E102" s="632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</row>
    <row r="103" spans="1:24" ht="12" customHeight="1" x14ac:dyDescent="0.35">
      <c r="A103" s="632"/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32"/>
      <c r="X103" s="632"/>
    </row>
    <row r="104" spans="1:24" ht="12" customHeight="1" x14ac:dyDescent="0.35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32"/>
      <c r="X104" s="632"/>
    </row>
    <row r="105" spans="1:24" ht="12" customHeight="1" x14ac:dyDescent="0.35">
      <c r="A105" s="632"/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  <c r="V105" s="632"/>
      <c r="W105" s="632"/>
      <c r="X105" s="632"/>
    </row>
    <row r="106" spans="1:24" ht="12" customHeight="1" x14ac:dyDescent="0.35">
      <c r="A106" s="632"/>
      <c r="B106" s="632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32"/>
      <c r="X106" s="632"/>
    </row>
    <row r="107" spans="1:24" ht="12" customHeight="1" x14ac:dyDescent="0.35">
      <c r="A107" s="632"/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32"/>
      <c r="X107" s="632"/>
    </row>
    <row r="108" spans="1:24" ht="12" customHeight="1" x14ac:dyDescent="0.35">
      <c r="A108" s="632"/>
      <c r="B108" s="632"/>
      <c r="C108" s="632"/>
      <c r="D108" s="632"/>
      <c r="E108" s="632"/>
      <c r="F108" s="632"/>
      <c r="G108" s="632"/>
      <c r="H108" s="632"/>
      <c r="I108" s="632"/>
      <c r="J108" s="632"/>
      <c r="K108" s="632"/>
      <c r="L108" s="632"/>
      <c r="M108" s="632"/>
      <c r="N108" s="632"/>
      <c r="O108" s="632"/>
      <c r="P108" s="632"/>
      <c r="Q108" s="632"/>
      <c r="R108" s="632"/>
      <c r="S108" s="632"/>
      <c r="T108" s="632"/>
      <c r="U108" s="632"/>
      <c r="V108" s="632"/>
      <c r="W108" s="632"/>
      <c r="X108" s="632"/>
    </row>
    <row r="109" spans="1:24" ht="12" customHeight="1" x14ac:dyDescent="0.35">
      <c r="A109" s="632"/>
      <c r="B109" s="632"/>
      <c r="C109" s="632"/>
      <c r="D109" s="632"/>
      <c r="E109" s="632"/>
      <c r="F109" s="632"/>
      <c r="G109" s="632"/>
      <c r="H109" s="632"/>
      <c r="I109" s="632"/>
      <c r="J109" s="632"/>
      <c r="K109" s="632"/>
      <c r="L109" s="632"/>
      <c r="M109" s="632"/>
      <c r="N109" s="632"/>
      <c r="O109" s="632"/>
      <c r="P109" s="632"/>
      <c r="Q109" s="632"/>
      <c r="R109" s="632"/>
      <c r="S109" s="632"/>
      <c r="T109" s="632"/>
      <c r="U109" s="632"/>
      <c r="V109" s="632"/>
      <c r="W109" s="632"/>
      <c r="X109" s="632"/>
    </row>
    <row r="110" spans="1:24" ht="12" customHeight="1" x14ac:dyDescent="0.35">
      <c r="A110" s="632"/>
      <c r="B110" s="632"/>
      <c r="C110" s="632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</row>
    <row r="111" spans="1:24" ht="12" customHeight="1" x14ac:dyDescent="0.35">
      <c r="A111" s="632"/>
      <c r="B111" s="632"/>
      <c r="C111" s="632"/>
      <c r="D111" s="632"/>
      <c r="E111" s="632"/>
      <c r="F111" s="632"/>
      <c r="G111" s="632"/>
      <c r="H111" s="632"/>
      <c r="I111" s="632"/>
      <c r="J111" s="632"/>
      <c r="K111" s="632"/>
      <c r="L111" s="632"/>
      <c r="M111" s="632"/>
      <c r="N111" s="632"/>
      <c r="O111" s="632"/>
      <c r="P111" s="632"/>
      <c r="Q111" s="632"/>
      <c r="R111" s="632"/>
      <c r="S111" s="632"/>
      <c r="T111" s="632"/>
      <c r="U111" s="632"/>
      <c r="V111" s="632"/>
      <c r="W111" s="632"/>
      <c r="X111" s="632"/>
    </row>
    <row r="112" spans="1:24" ht="12" customHeight="1" x14ac:dyDescent="0.35">
      <c r="A112" s="632"/>
      <c r="B112" s="632"/>
      <c r="C112" s="632"/>
      <c r="D112" s="632"/>
      <c r="E112" s="632"/>
      <c r="F112" s="632"/>
      <c r="G112" s="632"/>
      <c r="H112" s="632"/>
      <c r="I112" s="632"/>
      <c r="J112" s="632"/>
      <c r="K112" s="632"/>
      <c r="L112" s="632"/>
      <c r="M112" s="632"/>
      <c r="N112" s="632"/>
      <c r="O112" s="632"/>
      <c r="P112" s="632"/>
      <c r="Q112" s="632"/>
      <c r="R112" s="632"/>
      <c r="S112" s="632"/>
      <c r="T112" s="632"/>
      <c r="U112" s="632"/>
      <c r="V112" s="632"/>
      <c r="W112" s="632"/>
      <c r="X112" s="632"/>
    </row>
    <row r="113" spans="1:24" ht="12" customHeight="1" x14ac:dyDescent="0.35">
      <c r="A113" s="632"/>
      <c r="B113" s="632"/>
      <c r="C113" s="632"/>
      <c r="D113" s="632"/>
      <c r="E113" s="632"/>
      <c r="F113" s="632"/>
      <c r="G113" s="632"/>
      <c r="H113" s="632"/>
      <c r="I113" s="632"/>
      <c r="J113" s="632"/>
      <c r="K113" s="632"/>
      <c r="L113" s="632"/>
      <c r="M113" s="632"/>
      <c r="N113" s="632"/>
      <c r="O113" s="632"/>
      <c r="P113" s="632"/>
      <c r="Q113" s="632"/>
      <c r="R113" s="632"/>
      <c r="S113" s="632"/>
      <c r="T113" s="632"/>
      <c r="U113" s="632"/>
      <c r="V113" s="632"/>
      <c r="W113" s="632"/>
      <c r="X113" s="632"/>
    </row>
    <row r="114" spans="1:24" ht="12" customHeight="1" x14ac:dyDescent="0.35">
      <c r="A114" s="632"/>
      <c r="B114" s="632"/>
      <c r="C114" s="632"/>
      <c r="D114" s="632"/>
      <c r="E114" s="632"/>
      <c r="F114" s="632"/>
      <c r="G114" s="632"/>
      <c r="H114" s="632"/>
      <c r="I114" s="632"/>
      <c r="J114" s="632"/>
      <c r="K114" s="632"/>
      <c r="L114" s="632"/>
      <c r="M114" s="632"/>
      <c r="N114" s="632"/>
      <c r="O114" s="632"/>
      <c r="P114" s="632"/>
      <c r="Q114" s="632"/>
      <c r="R114" s="632"/>
      <c r="S114" s="632"/>
      <c r="T114" s="632"/>
      <c r="U114" s="632"/>
      <c r="V114" s="632"/>
      <c r="W114" s="632"/>
      <c r="X114" s="632"/>
    </row>
    <row r="115" spans="1:24" ht="12" customHeight="1" x14ac:dyDescent="0.35">
      <c r="A115" s="632"/>
      <c r="B115" s="632"/>
      <c r="C115" s="632"/>
      <c r="D115" s="632"/>
      <c r="E115" s="632"/>
      <c r="F115" s="632"/>
      <c r="G115" s="632"/>
      <c r="H115" s="632"/>
      <c r="I115" s="632"/>
      <c r="J115" s="632"/>
      <c r="K115" s="632"/>
      <c r="L115" s="632"/>
      <c r="M115" s="632"/>
      <c r="N115" s="632"/>
      <c r="O115" s="632"/>
      <c r="P115" s="632"/>
      <c r="Q115" s="632"/>
      <c r="R115" s="632"/>
      <c r="S115" s="632"/>
      <c r="T115" s="632"/>
      <c r="U115" s="632"/>
      <c r="V115" s="632"/>
      <c r="W115" s="632"/>
      <c r="X115" s="632"/>
    </row>
    <row r="116" spans="1:24" ht="12" customHeight="1" x14ac:dyDescent="0.35">
      <c r="A116" s="632"/>
      <c r="B116" s="632"/>
      <c r="C116" s="632"/>
      <c r="D116" s="632"/>
      <c r="E116" s="632"/>
      <c r="F116" s="632"/>
      <c r="G116" s="632"/>
      <c r="H116" s="632"/>
      <c r="I116" s="632"/>
      <c r="J116" s="632"/>
      <c r="K116" s="632"/>
      <c r="L116" s="632"/>
      <c r="M116" s="632"/>
      <c r="N116" s="632"/>
      <c r="O116" s="632"/>
      <c r="P116" s="632"/>
      <c r="Q116" s="632"/>
      <c r="R116" s="632"/>
      <c r="S116" s="632"/>
      <c r="T116" s="632"/>
      <c r="U116" s="632"/>
      <c r="V116" s="632"/>
      <c r="W116" s="632"/>
      <c r="X116" s="632"/>
    </row>
    <row r="117" spans="1:24" ht="12" customHeight="1" x14ac:dyDescent="0.35">
      <c r="A117" s="632"/>
      <c r="B117" s="632"/>
      <c r="C117" s="632"/>
      <c r="D117" s="632"/>
      <c r="E117" s="632"/>
      <c r="F117" s="632"/>
      <c r="G117" s="632"/>
      <c r="H117" s="632"/>
      <c r="I117" s="632"/>
      <c r="J117" s="632"/>
      <c r="K117" s="632"/>
      <c r="L117" s="632"/>
      <c r="M117" s="632"/>
      <c r="N117" s="632"/>
      <c r="O117" s="632"/>
      <c r="P117" s="632"/>
      <c r="Q117" s="632"/>
      <c r="R117" s="632"/>
      <c r="S117" s="632"/>
      <c r="T117" s="632"/>
      <c r="U117" s="632"/>
      <c r="V117" s="632"/>
      <c r="W117" s="632"/>
      <c r="X117" s="632"/>
    </row>
    <row r="118" spans="1:24" ht="12" customHeight="1" x14ac:dyDescent="0.35">
      <c r="A118" s="632"/>
      <c r="B118" s="632"/>
      <c r="C118" s="632"/>
      <c r="D118" s="632"/>
      <c r="E118" s="632"/>
      <c r="F118" s="632"/>
      <c r="G118" s="632"/>
      <c r="H118" s="632"/>
      <c r="I118" s="632"/>
      <c r="J118" s="632"/>
      <c r="K118" s="632"/>
      <c r="L118" s="632"/>
      <c r="M118" s="632"/>
      <c r="N118" s="632"/>
      <c r="O118" s="632"/>
      <c r="P118" s="632"/>
      <c r="Q118" s="632"/>
      <c r="R118" s="632"/>
      <c r="S118" s="632"/>
      <c r="T118" s="632"/>
      <c r="U118" s="632"/>
      <c r="V118" s="632"/>
      <c r="W118" s="632"/>
      <c r="X118" s="632"/>
    </row>
    <row r="119" spans="1:24" ht="12" customHeight="1" x14ac:dyDescent="0.35">
      <c r="A119" s="632"/>
      <c r="B119" s="632"/>
      <c r="C119" s="632"/>
      <c r="D119" s="632"/>
      <c r="E119" s="632"/>
      <c r="F119" s="632"/>
      <c r="G119" s="632"/>
      <c r="H119" s="632"/>
      <c r="I119" s="632"/>
      <c r="J119" s="632"/>
      <c r="K119" s="632"/>
      <c r="L119" s="632"/>
      <c r="M119" s="632"/>
      <c r="N119" s="632"/>
      <c r="O119" s="632"/>
      <c r="P119" s="632"/>
      <c r="Q119" s="632"/>
      <c r="R119" s="632"/>
      <c r="S119" s="632"/>
      <c r="T119" s="632"/>
      <c r="U119" s="632"/>
      <c r="V119" s="632"/>
      <c r="W119" s="632"/>
      <c r="X119" s="632"/>
    </row>
    <row r="120" spans="1:24" ht="12" customHeight="1" x14ac:dyDescent="0.35">
      <c r="A120" s="632"/>
      <c r="B120" s="632"/>
      <c r="C120" s="632"/>
      <c r="D120" s="632"/>
      <c r="E120" s="632"/>
      <c r="F120" s="632"/>
      <c r="G120" s="632"/>
      <c r="H120" s="632"/>
      <c r="I120" s="632"/>
      <c r="J120" s="632"/>
      <c r="K120" s="632"/>
      <c r="L120" s="632"/>
      <c r="M120" s="632"/>
      <c r="N120" s="632"/>
      <c r="O120" s="632"/>
      <c r="P120" s="632"/>
      <c r="Q120" s="632"/>
      <c r="R120" s="632"/>
      <c r="S120" s="632"/>
      <c r="T120" s="632"/>
      <c r="U120" s="632"/>
      <c r="V120" s="632"/>
      <c r="W120" s="632"/>
      <c r="X120" s="632"/>
    </row>
    <row r="121" spans="1:24" ht="12" customHeight="1" x14ac:dyDescent="0.35">
      <c r="A121" s="632"/>
      <c r="B121" s="632"/>
      <c r="C121" s="632"/>
      <c r="D121" s="632"/>
      <c r="E121" s="632"/>
      <c r="F121" s="632"/>
      <c r="G121" s="632"/>
      <c r="H121" s="632"/>
      <c r="I121" s="632"/>
      <c r="J121" s="632"/>
      <c r="K121" s="632"/>
      <c r="L121" s="632"/>
      <c r="M121" s="632"/>
      <c r="N121" s="632"/>
      <c r="O121" s="632"/>
      <c r="P121" s="632"/>
      <c r="Q121" s="632"/>
      <c r="R121" s="632"/>
      <c r="S121" s="632"/>
      <c r="T121" s="632"/>
      <c r="U121" s="632"/>
      <c r="V121" s="632"/>
      <c r="W121" s="632"/>
      <c r="X121" s="632"/>
    </row>
    <row r="122" spans="1:24" ht="12" customHeight="1" x14ac:dyDescent="0.35">
      <c r="A122" s="632"/>
      <c r="B122" s="632"/>
      <c r="C122" s="632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</row>
    <row r="123" spans="1:24" ht="12" customHeight="1" x14ac:dyDescent="0.35">
      <c r="A123" s="632"/>
      <c r="B123" s="632"/>
      <c r="C123" s="632"/>
      <c r="D123" s="632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2"/>
      <c r="Q123" s="632"/>
      <c r="R123" s="632"/>
      <c r="S123" s="632"/>
      <c r="T123" s="632"/>
      <c r="U123" s="632"/>
      <c r="V123" s="632"/>
      <c r="W123" s="632"/>
      <c r="X123" s="632"/>
    </row>
    <row r="124" spans="1:24" ht="12" customHeight="1" x14ac:dyDescent="0.35">
      <c r="A124" s="632"/>
      <c r="B124" s="632"/>
      <c r="C124" s="632"/>
      <c r="D124" s="632"/>
      <c r="E124" s="632"/>
      <c r="F124" s="632"/>
      <c r="G124" s="632"/>
      <c r="H124" s="632"/>
      <c r="I124" s="632"/>
      <c r="J124" s="632"/>
      <c r="K124" s="632"/>
      <c r="L124" s="632"/>
      <c r="M124" s="632"/>
      <c r="N124" s="632"/>
      <c r="O124" s="632"/>
      <c r="P124" s="632"/>
      <c r="Q124" s="632"/>
      <c r="R124" s="632"/>
      <c r="S124" s="632"/>
      <c r="T124" s="632"/>
      <c r="U124" s="632"/>
      <c r="V124" s="632"/>
      <c r="W124" s="632"/>
      <c r="X124" s="632"/>
    </row>
    <row r="125" spans="1:24" ht="12" customHeight="1" x14ac:dyDescent="0.35">
      <c r="A125" s="632"/>
      <c r="B125" s="632"/>
      <c r="C125" s="632"/>
      <c r="D125" s="632"/>
      <c r="E125" s="632"/>
      <c r="F125" s="632"/>
      <c r="G125" s="632"/>
      <c r="H125" s="632"/>
      <c r="I125" s="632"/>
      <c r="J125" s="632"/>
      <c r="K125" s="632"/>
      <c r="L125" s="632"/>
      <c r="M125" s="632"/>
      <c r="N125" s="632"/>
      <c r="O125" s="632"/>
      <c r="P125" s="632"/>
      <c r="Q125" s="632"/>
      <c r="R125" s="632"/>
      <c r="S125" s="632"/>
      <c r="T125" s="632"/>
      <c r="U125" s="632"/>
      <c r="V125" s="632"/>
      <c r="W125" s="632"/>
      <c r="X125" s="632"/>
    </row>
    <row r="126" spans="1:24" ht="12" customHeight="1" x14ac:dyDescent="0.35">
      <c r="A126" s="632"/>
      <c r="B126" s="632"/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</row>
    <row r="127" spans="1:24" ht="12" customHeight="1" x14ac:dyDescent="0.35">
      <c r="A127" s="632"/>
      <c r="B127" s="632"/>
      <c r="C127" s="632"/>
      <c r="D127" s="632"/>
      <c r="E127" s="632"/>
      <c r="F127" s="632"/>
      <c r="G127" s="632"/>
      <c r="H127" s="632"/>
      <c r="I127" s="632"/>
      <c r="J127" s="632"/>
      <c r="K127" s="632"/>
      <c r="L127" s="632"/>
      <c r="M127" s="632"/>
      <c r="N127" s="632"/>
      <c r="O127" s="632"/>
      <c r="P127" s="632"/>
      <c r="Q127" s="632"/>
      <c r="R127" s="632"/>
      <c r="S127" s="632"/>
      <c r="T127" s="632"/>
      <c r="U127" s="632"/>
      <c r="V127" s="632"/>
      <c r="W127" s="632"/>
      <c r="X127" s="632"/>
    </row>
    <row r="128" spans="1:24" ht="12" customHeight="1" x14ac:dyDescent="0.35">
      <c r="A128" s="632"/>
      <c r="B128" s="632"/>
      <c r="C128" s="632"/>
      <c r="D128" s="632"/>
      <c r="E128" s="632"/>
      <c r="F128" s="632"/>
      <c r="G128" s="632"/>
      <c r="H128" s="632"/>
      <c r="I128" s="632"/>
      <c r="J128" s="632"/>
      <c r="K128" s="632"/>
      <c r="L128" s="632"/>
      <c r="M128" s="632"/>
      <c r="N128" s="632"/>
      <c r="O128" s="632"/>
      <c r="P128" s="632"/>
      <c r="Q128" s="632"/>
      <c r="R128" s="632"/>
      <c r="S128" s="632"/>
      <c r="T128" s="632"/>
      <c r="U128" s="632"/>
      <c r="V128" s="632"/>
      <c r="W128" s="632"/>
      <c r="X128" s="632"/>
    </row>
    <row r="129" spans="1:24" ht="12" customHeight="1" x14ac:dyDescent="0.35">
      <c r="A129" s="632"/>
      <c r="B129" s="632"/>
      <c r="C129" s="632"/>
      <c r="D129" s="632"/>
      <c r="E129" s="632"/>
      <c r="F129" s="632"/>
      <c r="G129" s="632"/>
      <c r="H129" s="632"/>
      <c r="I129" s="632"/>
      <c r="J129" s="632"/>
      <c r="K129" s="632"/>
      <c r="L129" s="632"/>
      <c r="M129" s="632"/>
      <c r="N129" s="632"/>
      <c r="O129" s="632"/>
      <c r="P129" s="632"/>
      <c r="Q129" s="632"/>
      <c r="R129" s="632"/>
      <c r="S129" s="632"/>
      <c r="T129" s="632"/>
      <c r="U129" s="632"/>
      <c r="V129" s="632"/>
      <c r="W129" s="632"/>
      <c r="X129" s="632"/>
    </row>
    <row r="130" spans="1:24" ht="12" customHeight="1" x14ac:dyDescent="0.35">
      <c r="A130" s="632"/>
      <c r="B130" s="632"/>
      <c r="C130" s="632"/>
      <c r="D130" s="632"/>
      <c r="E130" s="632"/>
      <c r="F130" s="632"/>
      <c r="G130" s="632"/>
      <c r="H130" s="632"/>
      <c r="I130" s="632"/>
      <c r="J130" s="632"/>
      <c r="K130" s="632"/>
      <c r="L130" s="632"/>
      <c r="M130" s="632"/>
      <c r="N130" s="632"/>
      <c r="O130" s="632"/>
      <c r="P130" s="632"/>
      <c r="Q130" s="632"/>
      <c r="R130" s="632"/>
      <c r="S130" s="632"/>
      <c r="T130" s="632"/>
      <c r="U130" s="632"/>
      <c r="V130" s="632"/>
      <c r="W130" s="632"/>
      <c r="X130" s="632"/>
    </row>
    <row r="131" spans="1:24" ht="12" customHeight="1" x14ac:dyDescent="0.35">
      <c r="A131" s="632"/>
      <c r="B131" s="632"/>
      <c r="C131" s="632"/>
      <c r="D131" s="632"/>
      <c r="E131" s="632"/>
      <c r="F131" s="632"/>
      <c r="G131" s="632"/>
      <c r="H131" s="632"/>
      <c r="I131" s="632"/>
      <c r="J131" s="632"/>
      <c r="K131" s="632"/>
      <c r="L131" s="632"/>
      <c r="M131" s="632"/>
      <c r="N131" s="632"/>
      <c r="O131" s="632"/>
      <c r="P131" s="632"/>
      <c r="Q131" s="632"/>
      <c r="R131" s="632"/>
      <c r="S131" s="632"/>
      <c r="T131" s="632"/>
      <c r="U131" s="632"/>
      <c r="V131" s="632"/>
      <c r="W131" s="632"/>
      <c r="X131" s="632"/>
    </row>
    <row r="132" spans="1:24" ht="12" customHeight="1" x14ac:dyDescent="0.35">
      <c r="A132" s="632"/>
      <c r="B132" s="632"/>
      <c r="C132" s="632"/>
      <c r="D132" s="632"/>
      <c r="E132" s="632"/>
      <c r="F132" s="632"/>
      <c r="G132" s="632"/>
      <c r="H132" s="632"/>
      <c r="I132" s="632"/>
      <c r="J132" s="632"/>
      <c r="K132" s="632"/>
      <c r="L132" s="632"/>
      <c r="M132" s="632"/>
      <c r="N132" s="632"/>
      <c r="O132" s="632"/>
      <c r="P132" s="632"/>
      <c r="Q132" s="632"/>
      <c r="R132" s="632"/>
      <c r="S132" s="632"/>
      <c r="T132" s="632"/>
      <c r="U132" s="632"/>
      <c r="V132" s="632"/>
      <c r="W132" s="632"/>
      <c r="X132" s="632"/>
    </row>
    <row r="133" spans="1:24" ht="12" customHeight="1" x14ac:dyDescent="0.35">
      <c r="A133" s="632"/>
      <c r="B133" s="632"/>
      <c r="C133" s="632"/>
      <c r="D133" s="632"/>
      <c r="E133" s="632"/>
      <c r="F133" s="632"/>
      <c r="G133" s="632"/>
      <c r="H133" s="632"/>
      <c r="I133" s="632"/>
      <c r="J133" s="632"/>
      <c r="K133" s="632"/>
      <c r="L133" s="632"/>
      <c r="M133" s="632"/>
      <c r="N133" s="632"/>
      <c r="O133" s="632"/>
      <c r="P133" s="632"/>
      <c r="Q133" s="632"/>
      <c r="R133" s="632"/>
      <c r="S133" s="632"/>
      <c r="T133" s="632"/>
      <c r="U133" s="632"/>
      <c r="V133" s="632"/>
      <c r="W133" s="632"/>
      <c r="X133" s="632"/>
    </row>
    <row r="134" spans="1:24" ht="12" customHeight="1" x14ac:dyDescent="0.35">
      <c r="A134" s="632"/>
      <c r="B134" s="632"/>
      <c r="C134" s="632"/>
      <c r="D134" s="632"/>
      <c r="E134" s="632"/>
      <c r="F134" s="632"/>
      <c r="G134" s="632"/>
      <c r="H134" s="632"/>
      <c r="I134" s="632"/>
      <c r="J134" s="632"/>
      <c r="K134" s="632"/>
      <c r="L134" s="632"/>
      <c r="M134" s="632"/>
      <c r="N134" s="632"/>
      <c r="O134" s="632"/>
      <c r="P134" s="632"/>
      <c r="Q134" s="632"/>
      <c r="R134" s="632"/>
      <c r="S134" s="632"/>
      <c r="T134" s="632"/>
      <c r="U134" s="632"/>
      <c r="V134" s="632"/>
      <c r="W134" s="632"/>
      <c r="X134" s="632"/>
    </row>
    <row r="135" spans="1:24" ht="12" customHeight="1" x14ac:dyDescent="0.35">
      <c r="A135" s="632"/>
      <c r="B135" s="632"/>
      <c r="C135" s="632"/>
      <c r="D135" s="632"/>
      <c r="E135" s="632"/>
      <c r="F135" s="632"/>
      <c r="G135" s="632"/>
      <c r="H135" s="632"/>
      <c r="I135" s="632"/>
      <c r="J135" s="632"/>
      <c r="K135" s="632"/>
      <c r="L135" s="632"/>
      <c r="M135" s="632"/>
      <c r="N135" s="632"/>
      <c r="O135" s="632"/>
      <c r="P135" s="632"/>
      <c r="Q135" s="632"/>
      <c r="R135" s="632"/>
      <c r="S135" s="632"/>
      <c r="T135" s="632"/>
      <c r="U135" s="632"/>
      <c r="V135" s="632"/>
      <c r="W135" s="632"/>
      <c r="X135" s="632"/>
    </row>
    <row r="136" spans="1:24" ht="12" customHeight="1" x14ac:dyDescent="0.35">
      <c r="A136" s="632"/>
      <c r="B136" s="632"/>
      <c r="C136" s="632"/>
      <c r="D136" s="632"/>
      <c r="E136" s="632"/>
      <c r="F136" s="632"/>
      <c r="G136" s="632"/>
      <c r="H136" s="632"/>
      <c r="I136" s="632"/>
      <c r="J136" s="632"/>
      <c r="K136" s="632"/>
      <c r="L136" s="632"/>
      <c r="M136" s="632"/>
      <c r="N136" s="632"/>
      <c r="O136" s="632"/>
      <c r="P136" s="632"/>
      <c r="Q136" s="632"/>
      <c r="R136" s="632"/>
      <c r="S136" s="632"/>
      <c r="T136" s="632"/>
      <c r="U136" s="632"/>
      <c r="V136" s="632"/>
      <c r="W136" s="632"/>
      <c r="X136" s="632"/>
    </row>
    <row r="137" spans="1:24" ht="12" customHeight="1" x14ac:dyDescent="0.35">
      <c r="A137" s="632"/>
      <c r="B137" s="632"/>
      <c r="C137" s="632"/>
      <c r="D137" s="632"/>
      <c r="E137" s="632"/>
      <c r="F137" s="632"/>
      <c r="G137" s="632"/>
      <c r="H137" s="632"/>
      <c r="I137" s="632"/>
      <c r="J137" s="632"/>
      <c r="K137" s="632"/>
      <c r="L137" s="632"/>
      <c r="M137" s="632"/>
      <c r="N137" s="632"/>
      <c r="O137" s="632"/>
      <c r="P137" s="632"/>
      <c r="Q137" s="632"/>
      <c r="R137" s="632"/>
      <c r="S137" s="632"/>
      <c r="T137" s="632"/>
      <c r="U137" s="632"/>
      <c r="V137" s="632"/>
      <c r="W137" s="632"/>
      <c r="X137" s="632"/>
    </row>
    <row r="138" spans="1:24" ht="12" customHeight="1" x14ac:dyDescent="0.35">
      <c r="A138" s="632"/>
      <c r="B138" s="632"/>
      <c r="C138" s="632"/>
      <c r="D138" s="632"/>
      <c r="E138" s="632"/>
      <c r="F138" s="632"/>
      <c r="G138" s="632"/>
      <c r="H138" s="632"/>
      <c r="I138" s="632"/>
      <c r="J138" s="632"/>
      <c r="K138" s="632"/>
      <c r="L138" s="632"/>
      <c r="M138" s="632"/>
      <c r="N138" s="632"/>
      <c r="O138" s="632"/>
      <c r="P138" s="632"/>
      <c r="Q138" s="632"/>
      <c r="R138" s="632"/>
      <c r="S138" s="632"/>
      <c r="T138" s="632"/>
      <c r="U138" s="632"/>
      <c r="V138" s="632"/>
      <c r="W138" s="632"/>
      <c r="X138" s="632"/>
    </row>
    <row r="139" spans="1:24" ht="12" customHeight="1" x14ac:dyDescent="0.35">
      <c r="A139" s="632"/>
      <c r="B139" s="632"/>
      <c r="C139" s="632"/>
      <c r="D139" s="632"/>
      <c r="E139" s="632"/>
      <c r="F139" s="632"/>
      <c r="G139" s="632"/>
      <c r="H139" s="632"/>
      <c r="I139" s="632"/>
      <c r="J139" s="632"/>
      <c r="K139" s="632"/>
      <c r="L139" s="632"/>
      <c r="M139" s="632"/>
      <c r="N139" s="632"/>
      <c r="O139" s="632"/>
      <c r="P139" s="632"/>
      <c r="Q139" s="632"/>
      <c r="R139" s="632"/>
      <c r="S139" s="632"/>
      <c r="T139" s="632"/>
      <c r="U139" s="632"/>
      <c r="V139" s="632"/>
      <c r="W139" s="632"/>
      <c r="X139" s="632"/>
    </row>
    <row r="140" spans="1:24" ht="12" customHeight="1" x14ac:dyDescent="0.35">
      <c r="A140" s="632"/>
      <c r="B140" s="632"/>
      <c r="C140" s="632"/>
      <c r="D140" s="632"/>
      <c r="E140" s="632"/>
      <c r="F140" s="632"/>
      <c r="G140" s="632"/>
      <c r="H140" s="632"/>
      <c r="I140" s="632"/>
      <c r="J140" s="632"/>
      <c r="K140" s="632"/>
      <c r="L140" s="632"/>
      <c r="M140" s="632"/>
      <c r="N140" s="632"/>
      <c r="O140" s="632"/>
      <c r="P140" s="632"/>
      <c r="Q140" s="632"/>
      <c r="R140" s="632"/>
      <c r="S140" s="632"/>
      <c r="T140" s="632"/>
      <c r="U140" s="632"/>
      <c r="V140" s="632"/>
      <c r="W140" s="632"/>
      <c r="X140" s="632"/>
    </row>
    <row r="141" spans="1:24" ht="12" customHeight="1" x14ac:dyDescent="0.35">
      <c r="A141" s="632"/>
      <c r="B141" s="632"/>
      <c r="C141" s="632"/>
      <c r="D141" s="632"/>
      <c r="E141" s="632"/>
      <c r="F141" s="632"/>
      <c r="G141" s="632"/>
      <c r="H141" s="632"/>
      <c r="I141" s="632"/>
      <c r="J141" s="632"/>
      <c r="K141" s="632"/>
      <c r="L141" s="632"/>
      <c r="M141" s="632"/>
      <c r="N141" s="632"/>
      <c r="O141" s="632"/>
      <c r="P141" s="632"/>
      <c r="Q141" s="632"/>
      <c r="R141" s="632"/>
      <c r="S141" s="632"/>
      <c r="T141" s="632"/>
      <c r="U141" s="632"/>
      <c r="V141" s="632"/>
      <c r="W141" s="632"/>
      <c r="X141" s="632"/>
    </row>
    <row r="142" spans="1:24" ht="12" customHeight="1" x14ac:dyDescent="0.35">
      <c r="A142" s="632"/>
      <c r="B142" s="632"/>
      <c r="C142" s="632"/>
      <c r="D142" s="632"/>
      <c r="E142" s="632"/>
      <c r="F142" s="632"/>
      <c r="G142" s="632"/>
      <c r="H142" s="632"/>
      <c r="I142" s="632"/>
      <c r="J142" s="632"/>
      <c r="K142" s="632"/>
      <c r="L142" s="632"/>
      <c r="M142" s="632"/>
      <c r="N142" s="632"/>
      <c r="O142" s="632"/>
      <c r="P142" s="632"/>
      <c r="Q142" s="632"/>
      <c r="R142" s="632"/>
      <c r="S142" s="632"/>
      <c r="T142" s="632"/>
      <c r="U142" s="632"/>
      <c r="V142" s="632"/>
      <c r="W142" s="632"/>
      <c r="X142" s="632"/>
    </row>
    <row r="143" spans="1:24" ht="12" customHeight="1" x14ac:dyDescent="0.35">
      <c r="A143" s="632"/>
      <c r="B143" s="632"/>
      <c r="C143" s="632"/>
      <c r="D143" s="632"/>
      <c r="E143" s="632"/>
      <c r="F143" s="632"/>
      <c r="G143" s="632"/>
      <c r="H143" s="632"/>
      <c r="I143" s="632"/>
      <c r="J143" s="632"/>
      <c r="K143" s="632"/>
      <c r="L143" s="632"/>
      <c r="M143" s="632"/>
      <c r="N143" s="632"/>
      <c r="O143" s="632"/>
      <c r="P143" s="632"/>
      <c r="Q143" s="632"/>
      <c r="R143" s="632"/>
      <c r="S143" s="632"/>
      <c r="T143" s="632"/>
      <c r="U143" s="632"/>
      <c r="V143" s="632"/>
      <c r="W143" s="632"/>
      <c r="X143" s="632"/>
    </row>
    <row r="144" spans="1:24" ht="12" customHeight="1" x14ac:dyDescent="0.35">
      <c r="A144" s="632"/>
      <c r="B144" s="632"/>
      <c r="C144" s="632"/>
      <c r="D144" s="632"/>
      <c r="E144" s="632"/>
      <c r="F144" s="632"/>
      <c r="G144" s="632"/>
      <c r="H144" s="632"/>
      <c r="I144" s="632"/>
      <c r="J144" s="632"/>
      <c r="K144" s="632"/>
      <c r="L144" s="632"/>
      <c r="M144" s="632"/>
      <c r="N144" s="632"/>
      <c r="O144" s="632"/>
      <c r="P144" s="632"/>
      <c r="Q144" s="632"/>
      <c r="R144" s="632"/>
      <c r="S144" s="632"/>
      <c r="T144" s="632"/>
      <c r="U144" s="632"/>
      <c r="V144" s="632"/>
      <c r="W144" s="632"/>
      <c r="X144" s="632"/>
    </row>
    <row r="145" spans="1:24" ht="12" customHeight="1" x14ac:dyDescent="0.35">
      <c r="A145" s="632"/>
      <c r="B145" s="632"/>
      <c r="C145" s="632"/>
      <c r="D145" s="632"/>
      <c r="E145" s="632"/>
      <c r="F145" s="632"/>
      <c r="G145" s="632"/>
      <c r="H145" s="632"/>
      <c r="I145" s="632"/>
      <c r="J145" s="632"/>
      <c r="K145" s="632"/>
      <c r="L145" s="632"/>
      <c r="M145" s="632"/>
      <c r="N145" s="632"/>
      <c r="O145" s="632"/>
      <c r="P145" s="632"/>
      <c r="Q145" s="632"/>
      <c r="R145" s="632"/>
      <c r="S145" s="632"/>
      <c r="T145" s="632"/>
      <c r="U145" s="632"/>
      <c r="V145" s="632"/>
      <c r="W145" s="632"/>
      <c r="X145" s="632"/>
    </row>
    <row r="146" spans="1:24" ht="12" customHeight="1" x14ac:dyDescent="0.35">
      <c r="A146" s="632"/>
      <c r="B146" s="632"/>
      <c r="C146" s="632"/>
      <c r="D146" s="632"/>
      <c r="E146" s="632"/>
      <c r="F146" s="632"/>
      <c r="G146" s="632"/>
      <c r="H146" s="632"/>
      <c r="I146" s="632"/>
      <c r="J146" s="632"/>
      <c r="K146" s="632"/>
      <c r="L146" s="632"/>
      <c r="M146" s="632"/>
      <c r="N146" s="632"/>
      <c r="O146" s="632"/>
      <c r="P146" s="632"/>
      <c r="Q146" s="632"/>
      <c r="R146" s="632"/>
      <c r="S146" s="632"/>
      <c r="T146" s="632"/>
      <c r="U146" s="632"/>
      <c r="V146" s="632"/>
      <c r="W146" s="632"/>
      <c r="X146" s="632"/>
    </row>
    <row r="147" spans="1:24" ht="12" customHeight="1" x14ac:dyDescent="0.35">
      <c r="A147" s="632"/>
      <c r="B147" s="632"/>
      <c r="C147" s="632"/>
      <c r="D147" s="632"/>
      <c r="E147" s="632"/>
      <c r="F147" s="632"/>
      <c r="G147" s="632"/>
      <c r="H147" s="632"/>
      <c r="I147" s="632"/>
      <c r="J147" s="632"/>
      <c r="K147" s="632"/>
      <c r="L147" s="632"/>
      <c r="M147" s="632"/>
      <c r="N147" s="632"/>
      <c r="O147" s="632"/>
      <c r="P147" s="632"/>
      <c r="Q147" s="632"/>
      <c r="R147" s="632"/>
      <c r="S147" s="632"/>
      <c r="T147" s="632"/>
      <c r="U147" s="632"/>
      <c r="V147" s="632"/>
      <c r="W147" s="632"/>
      <c r="X147" s="632"/>
    </row>
    <row r="148" spans="1:24" ht="12" customHeight="1" x14ac:dyDescent="0.35">
      <c r="A148" s="632"/>
      <c r="B148" s="632"/>
      <c r="C148" s="632"/>
      <c r="D148" s="632"/>
      <c r="E148" s="632"/>
      <c r="F148" s="632"/>
      <c r="G148" s="632"/>
      <c r="H148" s="632"/>
      <c r="I148" s="632"/>
      <c r="J148" s="632"/>
      <c r="K148" s="632"/>
      <c r="L148" s="632"/>
      <c r="M148" s="632"/>
      <c r="N148" s="632"/>
      <c r="O148" s="632"/>
      <c r="P148" s="632"/>
      <c r="Q148" s="632"/>
      <c r="R148" s="632"/>
      <c r="S148" s="632"/>
      <c r="T148" s="632"/>
      <c r="U148" s="632"/>
      <c r="V148" s="632"/>
      <c r="W148" s="632"/>
      <c r="X148" s="632"/>
    </row>
    <row r="149" spans="1:24" ht="12" customHeight="1" x14ac:dyDescent="0.35">
      <c r="A149" s="632"/>
      <c r="B149" s="632"/>
      <c r="C149" s="632"/>
      <c r="D149" s="632"/>
      <c r="E149" s="632"/>
      <c r="F149" s="632"/>
      <c r="G149" s="632"/>
      <c r="H149" s="632"/>
      <c r="I149" s="632"/>
      <c r="J149" s="632"/>
      <c r="K149" s="632"/>
      <c r="L149" s="632"/>
      <c r="M149" s="632"/>
      <c r="N149" s="632"/>
      <c r="O149" s="632"/>
      <c r="P149" s="632"/>
      <c r="Q149" s="632"/>
      <c r="R149" s="632"/>
      <c r="S149" s="632"/>
      <c r="T149" s="632"/>
      <c r="U149" s="632"/>
      <c r="V149" s="632"/>
      <c r="W149" s="632"/>
      <c r="X149" s="632"/>
    </row>
    <row r="150" spans="1:24" ht="12" customHeight="1" x14ac:dyDescent="0.35">
      <c r="A150" s="632"/>
      <c r="B150" s="632"/>
      <c r="C150" s="632"/>
      <c r="D150" s="632"/>
      <c r="E150" s="632"/>
      <c r="F150" s="632"/>
      <c r="G150" s="632"/>
      <c r="H150" s="632"/>
      <c r="I150" s="632"/>
      <c r="J150" s="632"/>
      <c r="K150" s="632"/>
      <c r="L150" s="632"/>
      <c r="M150" s="632"/>
      <c r="N150" s="632"/>
      <c r="O150" s="632"/>
      <c r="P150" s="632"/>
      <c r="Q150" s="632"/>
      <c r="R150" s="632"/>
      <c r="S150" s="632"/>
      <c r="T150" s="632"/>
      <c r="U150" s="632"/>
      <c r="V150" s="632"/>
      <c r="W150" s="632"/>
      <c r="X150" s="632"/>
    </row>
    <row r="151" spans="1:24" ht="12" customHeight="1" x14ac:dyDescent="0.35">
      <c r="A151" s="632"/>
      <c r="B151" s="632"/>
      <c r="C151" s="632"/>
      <c r="D151" s="632"/>
      <c r="E151" s="632"/>
      <c r="F151" s="632"/>
      <c r="G151" s="632"/>
      <c r="H151" s="632"/>
      <c r="I151" s="632"/>
      <c r="J151" s="632"/>
      <c r="K151" s="632"/>
      <c r="L151" s="632"/>
      <c r="M151" s="632"/>
      <c r="N151" s="632"/>
      <c r="O151" s="632"/>
      <c r="P151" s="632"/>
      <c r="Q151" s="632"/>
      <c r="R151" s="632"/>
      <c r="S151" s="632"/>
      <c r="T151" s="632"/>
      <c r="U151" s="632"/>
      <c r="V151" s="632"/>
      <c r="W151" s="632"/>
      <c r="X151" s="632"/>
    </row>
    <row r="152" spans="1:24" ht="12" customHeight="1" x14ac:dyDescent="0.35">
      <c r="A152" s="632"/>
      <c r="B152" s="632"/>
      <c r="C152" s="632"/>
      <c r="D152" s="632"/>
      <c r="E152" s="632"/>
      <c r="F152" s="632"/>
      <c r="G152" s="632"/>
      <c r="H152" s="632"/>
      <c r="I152" s="632"/>
      <c r="J152" s="632"/>
      <c r="K152" s="632"/>
      <c r="L152" s="632"/>
      <c r="M152" s="632"/>
      <c r="N152" s="632"/>
      <c r="O152" s="632"/>
      <c r="P152" s="632"/>
      <c r="Q152" s="632"/>
      <c r="R152" s="632"/>
      <c r="S152" s="632"/>
      <c r="T152" s="632"/>
      <c r="U152" s="632"/>
      <c r="V152" s="632"/>
      <c r="W152" s="632"/>
      <c r="X152" s="632"/>
    </row>
    <row r="153" spans="1:24" ht="12" customHeight="1" x14ac:dyDescent="0.35">
      <c r="A153" s="632"/>
      <c r="B153" s="632"/>
      <c r="C153" s="632"/>
      <c r="D153" s="632"/>
      <c r="E153" s="632"/>
      <c r="F153" s="632"/>
      <c r="G153" s="632"/>
      <c r="H153" s="632"/>
      <c r="I153" s="632"/>
      <c r="J153" s="632"/>
      <c r="K153" s="632"/>
      <c r="L153" s="632"/>
      <c r="M153" s="632"/>
      <c r="N153" s="632"/>
      <c r="O153" s="632"/>
      <c r="P153" s="632"/>
      <c r="Q153" s="632"/>
      <c r="R153" s="632"/>
      <c r="S153" s="632"/>
      <c r="T153" s="632"/>
      <c r="U153" s="632"/>
      <c r="V153" s="632"/>
      <c r="W153" s="632"/>
      <c r="X153" s="632"/>
    </row>
    <row r="154" spans="1:24" ht="12" customHeight="1" x14ac:dyDescent="0.35">
      <c r="A154" s="632"/>
      <c r="B154" s="632"/>
      <c r="C154" s="632"/>
      <c r="D154" s="632"/>
      <c r="E154" s="632"/>
      <c r="F154" s="632"/>
      <c r="G154" s="632"/>
      <c r="H154" s="632"/>
      <c r="I154" s="632"/>
      <c r="J154" s="632"/>
      <c r="K154" s="632"/>
      <c r="L154" s="632"/>
      <c r="M154" s="632"/>
      <c r="N154" s="632"/>
      <c r="O154" s="632"/>
      <c r="P154" s="632"/>
      <c r="Q154" s="632"/>
      <c r="R154" s="632"/>
      <c r="S154" s="632"/>
      <c r="T154" s="632"/>
      <c r="U154" s="632"/>
      <c r="V154" s="632"/>
      <c r="W154" s="632"/>
      <c r="X154" s="632"/>
    </row>
    <row r="155" spans="1:24" ht="12" customHeight="1" x14ac:dyDescent="0.35">
      <c r="A155" s="632"/>
      <c r="B155" s="632"/>
      <c r="C155" s="632"/>
      <c r="D155" s="632"/>
      <c r="E155" s="632"/>
      <c r="F155" s="632"/>
      <c r="G155" s="632"/>
      <c r="H155" s="632"/>
      <c r="I155" s="632"/>
      <c r="J155" s="632"/>
      <c r="K155" s="632"/>
      <c r="L155" s="632"/>
      <c r="M155" s="632"/>
      <c r="N155" s="632"/>
      <c r="O155" s="632"/>
      <c r="P155" s="632"/>
      <c r="Q155" s="632"/>
      <c r="R155" s="632"/>
      <c r="S155" s="632"/>
      <c r="T155" s="632"/>
      <c r="U155" s="632"/>
      <c r="V155" s="632"/>
      <c r="W155" s="632"/>
      <c r="X155" s="632"/>
    </row>
    <row r="156" spans="1:24" ht="12" customHeight="1" x14ac:dyDescent="0.35">
      <c r="A156" s="632"/>
      <c r="B156" s="632"/>
      <c r="C156" s="632"/>
      <c r="D156" s="632"/>
      <c r="E156" s="632"/>
      <c r="F156" s="632"/>
      <c r="G156" s="632"/>
      <c r="H156" s="632"/>
      <c r="I156" s="632"/>
      <c r="J156" s="632"/>
      <c r="K156" s="632"/>
      <c r="L156" s="632"/>
      <c r="M156" s="632"/>
      <c r="N156" s="632"/>
      <c r="O156" s="632"/>
      <c r="P156" s="632"/>
      <c r="Q156" s="632"/>
      <c r="R156" s="632"/>
      <c r="S156" s="632"/>
      <c r="T156" s="632"/>
      <c r="U156" s="632"/>
      <c r="V156" s="632"/>
      <c r="W156" s="632"/>
      <c r="X156" s="632"/>
    </row>
    <row r="157" spans="1:24" ht="12" customHeight="1" x14ac:dyDescent="0.35">
      <c r="A157" s="632"/>
      <c r="B157" s="632"/>
      <c r="C157" s="632"/>
      <c r="D157" s="632"/>
      <c r="E157" s="632"/>
      <c r="F157" s="632"/>
      <c r="G157" s="632"/>
      <c r="H157" s="632"/>
      <c r="I157" s="632"/>
      <c r="J157" s="632"/>
      <c r="K157" s="632"/>
      <c r="L157" s="632"/>
      <c r="M157" s="632"/>
      <c r="N157" s="632"/>
      <c r="O157" s="632"/>
      <c r="P157" s="632"/>
      <c r="Q157" s="632"/>
      <c r="R157" s="632"/>
      <c r="S157" s="632"/>
      <c r="T157" s="632"/>
      <c r="U157" s="632"/>
      <c r="V157" s="632"/>
      <c r="W157" s="632"/>
      <c r="X157" s="632"/>
    </row>
    <row r="158" spans="1:24" ht="12" customHeight="1" x14ac:dyDescent="0.35">
      <c r="A158" s="632"/>
      <c r="B158" s="632"/>
      <c r="C158" s="632"/>
      <c r="D158" s="632"/>
      <c r="E158" s="632"/>
      <c r="F158" s="632"/>
      <c r="G158" s="632"/>
      <c r="H158" s="632"/>
      <c r="I158" s="632"/>
      <c r="J158" s="632"/>
      <c r="K158" s="632"/>
      <c r="L158" s="632"/>
      <c r="M158" s="632"/>
      <c r="N158" s="632"/>
      <c r="O158" s="632"/>
      <c r="P158" s="632"/>
      <c r="Q158" s="632"/>
      <c r="R158" s="632"/>
      <c r="S158" s="632"/>
      <c r="T158" s="632"/>
      <c r="U158" s="632"/>
      <c r="V158" s="632"/>
      <c r="W158" s="632"/>
      <c r="X158" s="632"/>
    </row>
    <row r="159" spans="1:24" ht="12" customHeight="1" x14ac:dyDescent="0.35">
      <c r="A159" s="632"/>
      <c r="B159" s="632"/>
      <c r="C159" s="632"/>
      <c r="D159" s="632"/>
      <c r="E159" s="632"/>
      <c r="F159" s="632"/>
      <c r="G159" s="632"/>
      <c r="H159" s="632"/>
      <c r="I159" s="632"/>
      <c r="J159" s="632"/>
      <c r="K159" s="632"/>
      <c r="L159" s="632"/>
      <c r="M159" s="632"/>
      <c r="N159" s="632"/>
      <c r="O159" s="632"/>
      <c r="P159" s="632"/>
      <c r="Q159" s="632"/>
      <c r="R159" s="632"/>
      <c r="S159" s="632"/>
      <c r="T159" s="632"/>
      <c r="U159" s="632"/>
      <c r="V159" s="632"/>
      <c r="W159" s="632"/>
      <c r="X159" s="632"/>
    </row>
    <row r="160" spans="1:24" ht="12" customHeight="1" x14ac:dyDescent="0.35">
      <c r="A160" s="632"/>
      <c r="B160" s="632"/>
      <c r="C160" s="632"/>
      <c r="D160" s="632"/>
      <c r="E160" s="632"/>
      <c r="F160" s="632"/>
      <c r="G160" s="632"/>
      <c r="H160" s="632"/>
      <c r="I160" s="632"/>
      <c r="J160" s="632"/>
      <c r="K160" s="632"/>
      <c r="L160" s="632"/>
      <c r="M160" s="632"/>
      <c r="N160" s="632"/>
      <c r="O160" s="632"/>
      <c r="P160" s="632"/>
      <c r="Q160" s="632"/>
      <c r="R160" s="632"/>
      <c r="S160" s="632"/>
      <c r="T160" s="632"/>
      <c r="U160" s="632"/>
      <c r="V160" s="632"/>
      <c r="W160" s="632"/>
      <c r="X160" s="632"/>
    </row>
    <row r="161" spans="1:24" ht="12" customHeight="1" x14ac:dyDescent="0.35">
      <c r="A161" s="632"/>
      <c r="B161" s="632"/>
      <c r="C161" s="632"/>
      <c r="D161" s="632"/>
      <c r="E161" s="632"/>
      <c r="F161" s="632"/>
      <c r="G161" s="632"/>
      <c r="H161" s="632"/>
      <c r="I161" s="632"/>
      <c r="J161" s="632"/>
      <c r="K161" s="632"/>
      <c r="L161" s="632"/>
      <c r="M161" s="632"/>
      <c r="N161" s="632"/>
      <c r="O161" s="632"/>
      <c r="P161" s="632"/>
      <c r="Q161" s="632"/>
      <c r="R161" s="632"/>
      <c r="S161" s="632"/>
      <c r="T161" s="632"/>
      <c r="U161" s="632"/>
      <c r="V161" s="632"/>
      <c r="W161" s="632"/>
      <c r="X161" s="632"/>
    </row>
    <row r="162" spans="1:24" ht="12" customHeight="1" x14ac:dyDescent="0.35">
      <c r="A162" s="632"/>
      <c r="B162" s="632"/>
      <c r="C162" s="632"/>
      <c r="D162" s="632"/>
      <c r="E162" s="632"/>
      <c r="F162" s="632"/>
      <c r="G162" s="632"/>
      <c r="H162" s="632"/>
      <c r="I162" s="632"/>
      <c r="J162" s="632"/>
      <c r="K162" s="632"/>
      <c r="L162" s="632"/>
      <c r="M162" s="632"/>
      <c r="N162" s="632"/>
      <c r="O162" s="632"/>
      <c r="P162" s="632"/>
      <c r="Q162" s="632"/>
      <c r="R162" s="632"/>
      <c r="S162" s="632"/>
      <c r="T162" s="632"/>
      <c r="U162" s="632"/>
      <c r="V162" s="632"/>
      <c r="W162" s="632"/>
      <c r="X162" s="632"/>
    </row>
    <row r="163" spans="1:24" ht="12" customHeight="1" x14ac:dyDescent="0.35">
      <c r="A163" s="632"/>
      <c r="B163" s="632"/>
      <c r="C163" s="632"/>
      <c r="D163" s="632"/>
      <c r="E163" s="632"/>
      <c r="F163" s="632"/>
      <c r="G163" s="632"/>
      <c r="H163" s="632"/>
      <c r="I163" s="632"/>
      <c r="J163" s="632"/>
      <c r="K163" s="632"/>
      <c r="L163" s="632"/>
      <c r="M163" s="632"/>
      <c r="N163" s="632"/>
      <c r="O163" s="632"/>
      <c r="P163" s="632"/>
      <c r="Q163" s="632"/>
      <c r="R163" s="632"/>
      <c r="S163" s="632"/>
      <c r="T163" s="632"/>
      <c r="U163" s="632"/>
      <c r="V163" s="632"/>
      <c r="W163" s="632"/>
      <c r="X163" s="632"/>
    </row>
    <row r="164" spans="1:24" ht="12" customHeight="1" x14ac:dyDescent="0.35">
      <c r="A164" s="632"/>
      <c r="B164" s="632"/>
      <c r="C164" s="632"/>
      <c r="D164" s="632"/>
      <c r="E164" s="632"/>
      <c r="F164" s="632"/>
      <c r="G164" s="632"/>
      <c r="H164" s="632"/>
      <c r="I164" s="632"/>
      <c r="J164" s="632"/>
      <c r="K164" s="632"/>
      <c r="L164" s="632"/>
      <c r="M164" s="632"/>
      <c r="N164" s="632"/>
      <c r="O164" s="632"/>
      <c r="P164" s="632"/>
      <c r="Q164" s="632"/>
      <c r="R164" s="632"/>
      <c r="S164" s="632"/>
      <c r="T164" s="632"/>
      <c r="U164" s="632"/>
      <c r="V164" s="632"/>
      <c r="W164" s="632"/>
      <c r="X164" s="632"/>
    </row>
    <row r="165" spans="1:24" ht="12" customHeight="1" x14ac:dyDescent="0.35">
      <c r="A165" s="632"/>
      <c r="B165" s="632"/>
      <c r="C165" s="632"/>
      <c r="D165" s="632"/>
      <c r="E165" s="632"/>
      <c r="F165" s="632"/>
      <c r="G165" s="632"/>
      <c r="H165" s="632"/>
      <c r="I165" s="632"/>
      <c r="J165" s="632"/>
      <c r="K165" s="632"/>
      <c r="L165" s="632"/>
      <c r="M165" s="632"/>
      <c r="N165" s="632"/>
      <c r="O165" s="632"/>
      <c r="P165" s="632"/>
      <c r="Q165" s="632"/>
      <c r="R165" s="632"/>
      <c r="S165" s="632"/>
      <c r="T165" s="632"/>
      <c r="U165" s="632"/>
      <c r="V165" s="632"/>
      <c r="W165" s="632"/>
      <c r="X165" s="632"/>
    </row>
    <row r="166" spans="1:24" ht="12" customHeight="1" x14ac:dyDescent="0.35">
      <c r="A166" s="632"/>
      <c r="B166" s="632"/>
      <c r="C166" s="632"/>
      <c r="D166" s="632"/>
      <c r="E166" s="632"/>
      <c r="F166" s="632"/>
      <c r="G166" s="632"/>
      <c r="H166" s="632"/>
      <c r="I166" s="632"/>
      <c r="J166" s="632"/>
      <c r="K166" s="632"/>
      <c r="L166" s="632"/>
      <c r="M166" s="632"/>
      <c r="N166" s="632"/>
      <c r="O166" s="632"/>
      <c r="P166" s="632"/>
      <c r="Q166" s="632"/>
      <c r="R166" s="632"/>
      <c r="S166" s="632"/>
      <c r="T166" s="632"/>
      <c r="U166" s="632"/>
      <c r="V166" s="632"/>
      <c r="W166" s="632"/>
      <c r="X166" s="632"/>
    </row>
    <row r="167" spans="1:24" ht="12" customHeight="1" x14ac:dyDescent="0.35">
      <c r="A167" s="632"/>
      <c r="B167" s="632"/>
      <c r="C167" s="632"/>
      <c r="D167" s="632"/>
      <c r="E167" s="632"/>
      <c r="F167" s="632"/>
      <c r="G167" s="632"/>
      <c r="H167" s="632"/>
      <c r="I167" s="632"/>
      <c r="J167" s="632"/>
      <c r="K167" s="632"/>
      <c r="L167" s="632"/>
      <c r="M167" s="632"/>
      <c r="N167" s="632"/>
      <c r="O167" s="632"/>
      <c r="P167" s="632"/>
      <c r="Q167" s="632"/>
      <c r="R167" s="632"/>
      <c r="S167" s="632"/>
      <c r="T167" s="632"/>
      <c r="U167" s="632"/>
      <c r="V167" s="632"/>
      <c r="W167" s="632"/>
      <c r="X167" s="632"/>
    </row>
    <row r="168" spans="1:24" ht="12" customHeight="1" x14ac:dyDescent="0.35">
      <c r="A168" s="632"/>
      <c r="B168" s="632"/>
      <c r="C168" s="632"/>
      <c r="D168" s="632"/>
      <c r="E168" s="632"/>
      <c r="F168" s="632"/>
      <c r="G168" s="632"/>
      <c r="H168" s="632"/>
      <c r="I168" s="632"/>
      <c r="J168" s="632"/>
      <c r="K168" s="632"/>
      <c r="L168" s="632"/>
      <c r="M168" s="632"/>
      <c r="N168" s="632"/>
      <c r="O168" s="632"/>
      <c r="P168" s="632"/>
      <c r="Q168" s="632"/>
      <c r="R168" s="632"/>
      <c r="S168" s="632"/>
      <c r="T168" s="632"/>
      <c r="U168" s="632"/>
      <c r="V168" s="632"/>
      <c r="W168" s="632"/>
      <c r="X168" s="632"/>
    </row>
    <row r="169" spans="1:24" ht="12" customHeight="1" x14ac:dyDescent="0.35">
      <c r="A169" s="632"/>
      <c r="B169" s="632"/>
      <c r="C169" s="632"/>
      <c r="D169" s="632"/>
      <c r="E169" s="632"/>
      <c r="F169" s="632"/>
      <c r="G169" s="632"/>
      <c r="H169" s="632"/>
      <c r="I169" s="632"/>
      <c r="J169" s="632"/>
      <c r="K169" s="632"/>
      <c r="L169" s="632"/>
      <c r="M169" s="632"/>
      <c r="N169" s="632"/>
      <c r="O169" s="632"/>
      <c r="P169" s="632"/>
      <c r="Q169" s="632"/>
      <c r="R169" s="632"/>
      <c r="S169" s="632"/>
      <c r="T169" s="632"/>
      <c r="U169" s="632"/>
      <c r="V169" s="632"/>
      <c r="W169" s="632"/>
      <c r="X169" s="632"/>
    </row>
    <row r="170" spans="1:24" ht="12" customHeight="1" x14ac:dyDescent="0.35">
      <c r="A170" s="632"/>
      <c r="B170" s="632"/>
      <c r="C170" s="632"/>
      <c r="D170" s="632"/>
      <c r="E170" s="632"/>
      <c r="F170" s="632"/>
      <c r="G170" s="632"/>
      <c r="H170" s="632"/>
      <c r="I170" s="632"/>
      <c r="J170" s="632"/>
      <c r="K170" s="632"/>
      <c r="L170" s="632"/>
      <c r="M170" s="632"/>
      <c r="N170" s="632"/>
      <c r="O170" s="632"/>
      <c r="P170" s="632"/>
      <c r="Q170" s="632"/>
      <c r="R170" s="632"/>
      <c r="S170" s="632"/>
      <c r="T170" s="632"/>
      <c r="U170" s="632"/>
      <c r="V170" s="632"/>
      <c r="W170" s="632"/>
      <c r="X170" s="632"/>
    </row>
    <row r="171" spans="1:24" ht="12" customHeight="1" x14ac:dyDescent="0.35">
      <c r="A171" s="632"/>
      <c r="B171" s="632"/>
      <c r="C171" s="632"/>
      <c r="D171" s="632"/>
      <c r="E171" s="632"/>
      <c r="F171" s="632"/>
      <c r="G171" s="632"/>
      <c r="H171" s="632"/>
      <c r="I171" s="632"/>
      <c r="J171" s="632"/>
      <c r="K171" s="632"/>
      <c r="L171" s="632"/>
      <c r="M171" s="632"/>
      <c r="N171" s="632"/>
      <c r="O171" s="632"/>
      <c r="P171" s="632"/>
      <c r="Q171" s="632"/>
      <c r="R171" s="632"/>
      <c r="S171" s="632"/>
      <c r="T171" s="632"/>
      <c r="U171" s="632"/>
      <c r="V171" s="632"/>
      <c r="W171" s="632"/>
      <c r="X171" s="632"/>
    </row>
    <row r="172" spans="1:24" ht="12" customHeight="1" x14ac:dyDescent="0.35">
      <c r="A172" s="632"/>
      <c r="B172" s="632"/>
      <c r="C172" s="632"/>
      <c r="D172" s="632"/>
      <c r="E172" s="632"/>
      <c r="F172" s="632"/>
      <c r="G172" s="632"/>
      <c r="H172" s="632"/>
      <c r="I172" s="632"/>
      <c r="J172" s="632"/>
      <c r="K172" s="632"/>
      <c r="L172" s="632"/>
      <c r="M172" s="632"/>
      <c r="N172" s="632"/>
      <c r="O172" s="632"/>
      <c r="P172" s="632"/>
      <c r="Q172" s="632"/>
      <c r="R172" s="632"/>
      <c r="S172" s="632"/>
      <c r="T172" s="632"/>
      <c r="U172" s="632"/>
      <c r="V172" s="632"/>
      <c r="W172" s="632"/>
      <c r="X172" s="632"/>
    </row>
    <row r="173" spans="1:24" ht="12" customHeight="1" x14ac:dyDescent="0.35">
      <c r="A173" s="632"/>
      <c r="B173" s="632"/>
      <c r="C173" s="632"/>
      <c r="D173" s="632"/>
      <c r="E173" s="632"/>
      <c r="F173" s="632"/>
      <c r="G173" s="632"/>
      <c r="H173" s="632"/>
      <c r="I173" s="632"/>
      <c r="J173" s="632"/>
      <c r="K173" s="632"/>
      <c r="L173" s="632"/>
      <c r="M173" s="632"/>
      <c r="N173" s="632"/>
      <c r="O173" s="632"/>
      <c r="P173" s="632"/>
      <c r="Q173" s="632"/>
      <c r="R173" s="632"/>
      <c r="S173" s="632"/>
      <c r="T173" s="632"/>
      <c r="U173" s="632"/>
      <c r="V173" s="632"/>
      <c r="W173" s="632"/>
      <c r="X173" s="632"/>
    </row>
    <row r="174" spans="1:24" ht="12" customHeight="1" x14ac:dyDescent="0.35">
      <c r="A174" s="632"/>
      <c r="B174" s="632"/>
      <c r="C174" s="632"/>
      <c r="D174" s="632"/>
      <c r="E174" s="632"/>
      <c r="F174" s="632"/>
      <c r="G174" s="632"/>
      <c r="H174" s="632"/>
      <c r="I174" s="632"/>
      <c r="J174" s="632"/>
      <c r="K174" s="632"/>
      <c r="L174" s="632"/>
      <c r="M174" s="632"/>
      <c r="N174" s="632"/>
      <c r="O174" s="632"/>
      <c r="P174" s="632"/>
      <c r="Q174" s="632"/>
      <c r="R174" s="632"/>
      <c r="S174" s="632"/>
      <c r="T174" s="632"/>
      <c r="U174" s="632"/>
      <c r="V174" s="632"/>
      <c r="W174" s="632"/>
      <c r="X174" s="632"/>
    </row>
    <row r="175" spans="1:24" ht="12" customHeight="1" x14ac:dyDescent="0.35">
      <c r="A175" s="632"/>
      <c r="B175" s="632"/>
      <c r="C175" s="632"/>
      <c r="D175" s="632"/>
      <c r="E175" s="632"/>
      <c r="F175" s="632"/>
      <c r="G175" s="632"/>
      <c r="H175" s="632"/>
      <c r="I175" s="632"/>
      <c r="J175" s="632"/>
      <c r="K175" s="632"/>
      <c r="L175" s="632"/>
      <c r="M175" s="632"/>
      <c r="N175" s="632"/>
      <c r="O175" s="632"/>
      <c r="P175" s="632"/>
      <c r="Q175" s="632"/>
      <c r="R175" s="632"/>
      <c r="S175" s="632"/>
      <c r="T175" s="632"/>
      <c r="U175" s="632"/>
      <c r="V175" s="632"/>
      <c r="W175" s="632"/>
      <c r="X175" s="632"/>
    </row>
    <row r="176" spans="1:24" ht="12" customHeight="1" x14ac:dyDescent="0.35">
      <c r="A176" s="632"/>
      <c r="B176" s="632"/>
      <c r="C176" s="632"/>
      <c r="D176" s="632"/>
      <c r="E176" s="632"/>
      <c r="F176" s="632"/>
      <c r="G176" s="632"/>
      <c r="H176" s="632"/>
      <c r="I176" s="632"/>
      <c r="J176" s="632"/>
      <c r="K176" s="632"/>
      <c r="L176" s="632"/>
      <c r="M176" s="632"/>
      <c r="N176" s="632"/>
      <c r="O176" s="632"/>
      <c r="P176" s="632"/>
      <c r="Q176" s="632"/>
      <c r="R176" s="632"/>
      <c r="S176" s="632"/>
      <c r="T176" s="632"/>
      <c r="U176" s="632"/>
      <c r="V176" s="632"/>
      <c r="W176" s="632"/>
      <c r="X176" s="632"/>
    </row>
    <row r="177" spans="1:24" ht="12" customHeight="1" x14ac:dyDescent="0.35">
      <c r="A177" s="632"/>
      <c r="B177" s="632"/>
      <c r="C177" s="632"/>
      <c r="D177" s="632"/>
      <c r="E177" s="632"/>
      <c r="F177" s="632"/>
      <c r="G177" s="632"/>
      <c r="H177" s="632"/>
      <c r="I177" s="632"/>
      <c r="J177" s="632"/>
      <c r="K177" s="632"/>
      <c r="L177" s="632"/>
      <c r="M177" s="632"/>
      <c r="N177" s="632"/>
      <c r="O177" s="632"/>
      <c r="P177" s="632"/>
      <c r="Q177" s="632"/>
      <c r="R177" s="632"/>
      <c r="S177" s="632"/>
      <c r="T177" s="632"/>
      <c r="U177" s="632"/>
      <c r="V177" s="632"/>
      <c r="W177" s="632"/>
      <c r="X177" s="632"/>
    </row>
    <row r="178" spans="1:24" ht="12" customHeight="1" x14ac:dyDescent="0.35">
      <c r="A178" s="632"/>
      <c r="B178" s="632"/>
      <c r="C178" s="632"/>
      <c r="D178" s="632"/>
      <c r="E178" s="632"/>
      <c r="F178" s="632"/>
      <c r="G178" s="632"/>
      <c r="H178" s="632"/>
      <c r="I178" s="632"/>
      <c r="J178" s="632"/>
      <c r="K178" s="632"/>
      <c r="L178" s="632"/>
      <c r="M178" s="632"/>
      <c r="N178" s="632"/>
      <c r="O178" s="632"/>
      <c r="P178" s="632"/>
      <c r="Q178" s="632"/>
      <c r="R178" s="632"/>
      <c r="S178" s="632"/>
      <c r="T178" s="632"/>
      <c r="U178" s="632"/>
      <c r="V178" s="632"/>
      <c r="W178" s="632"/>
      <c r="X178" s="632"/>
    </row>
    <row r="179" spans="1:24" ht="12" customHeight="1" x14ac:dyDescent="0.35">
      <c r="A179" s="632"/>
      <c r="B179" s="632"/>
      <c r="C179" s="632"/>
      <c r="D179" s="632"/>
      <c r="E179" s="632"/>
      <c r="F179" s="632"/>
      <c r="G179" s="632"/>
      <c r="H179" s="632"/>
      <c r="I179" s="632"/>
      <c r="J179" s="632"/>
      <c r="K179" s="632"/>
      <c r="L179" s="632"/>
      <c r="M179" s="632"/>
      <c r="N179" s="632"/>
      <c r="O179" s="632"/>
      <c r="P179" s="632"/>
      <c r="Q179" s="632"/>
      <c r="R179" s="632"/>
      <c r="S179" s="632"/>
      <c r="T179" s="632"/>
      <c r="U179" s="632"/>
      <c r="V179" s="632"/>
      <c r="W179" s="632"/>
      <c r="X179" s="632"/>
    </row>
    <row r="180" spans="1:24" ht="12" customHeight="1" x14ac:dyDescent="0.35">
      <c r="A180" s="632"/>
      <c r="B180" s="632"/>
      <c r="C180" s="632"/>
      <c r="D180" s="632"/>
      <c r="E180" s="632"/>
      <c r="F180" s="632"/>
      <c r="G180" s="632"/>
      <c r="H180" s="632"/>
      <c r="I180" s="632"/>
      <c r="J180" s="632"/>
      <c r="K180" s="632"/>
      <c r="L180" s="632"/>
      <c r="M180" s="632"/>
      <c r="N180" s="632"/>
      <c r="O180" s="632"/>
      <c r="P180" s="632"/>
      <c r="Q180" s="632"/>
      <c r="R180" s="632"/>
      <c r="S180" s="632"/>
      <c r="T180" s="632"/>
      <c r="U180" s="632"/>
      <c r="V180" s="632"/>
      <c r="W180" s="632"/>
      <c r="X180" s="632"/>
    </row>
    <row r="181" spans="1:24" ht="12" customHeight="1" x14ac:dyDescent="0.35">
      <c r="A181" s="632"/>
      <c r="B181" s="632"/>
      <c r="C181" s="632"/>
      <c r="D181" s="632"/>
      <c r="E181" s="632"/>
      <c r="F181" s="632"/>
      <c r="G181" s="632"/>
      <c r="H181" s="632"/>
      <c r="I181" s="632"/>
      <c r="J181" s="632"/>
      <c r="K181" s="632"/>
      <c r="L181" s="632"/>
      <c r="M181" s="632"/>
      <c r="N181" s="632"/>
      <c r="O181" s="632"/>
      <c r="P181" s="632"/>
      <c r="Q181" s="632"/>
      <c r="R181" s="632"/>
      <c r="S181" s="632"/>
      <c r="T181" s="632"/>
      <c r="U181" s="632"/>
      <c r="V181" s="632"/>
      <c r="W181" s="632"/>
      <c r="X181" s="632"/>
    </row>
    <row r="182" spans="1:24" ht="12" customHeight="1" x14ac:dyDescent="0.35">
      <c r="A182" s="632"/>
      <c r="B182" s="632"/>
      <c r="C182" s="632"/>
      <c r="D182" s="632"/>
      <c r="E182" s="632"/>
      <c r="F182" s="632"/>
      <c r="G182" s="632"/>
      <c r="H182" s="632"/>
      <c r="I182" s="632"/>
      <c r="J182" s="632"/>
      <c r="K182" s="632"/>
      <c r="L182" s="632"/>
      <c r="M182" s="632"/>
      <c r="N182" s="632"/>
      <c r="O182" s="632"/>
      <c r="P182" s="632"/>
      <c r="Q182" s="632"/>
      <c r="R182" s="632"/>
      <c r="S182" s="632"/>
      <c r="T182" s="632"/>
      <c r="U182" s="632"/>
      <c r="V182" s="632"/>
      <c r="W182" s="632"/>
      <c r="X182" s="632"/>
    </row>
    <row r="183" spans="1:24" ht="12" customHeight="1" x14ac:dyDescent="0.35">
      <c r="A183" s="632"/>
      <c r="B183" s="632"/>
      <c r="C183" s="632"/>
      <c r="D183" s="632"/>
      <c r="E183" s="632"/>
      <c r="F183" s="632"/>
      <c r="G183" s="632"/>
      <c r="H183" s="632"/>
      <c r="I183" s="632"/>
      <c r="J183" s="632"/>
      <c r="K183" s="632"/>
      <c r="L183" s="632"/>
      <c r="M183" s="632"/>
      <c r="N183" s="632"/>
      <c r="O183" s="632"/>
      <c r="P183" s="632"/>
      <c r="Q183" s="632"/>
      <c r="R183" s="632"/>
      <c r="S183" s="632"/>
      <c r="T183" s="632"/>
      <c r="U183" s="632"/>
      <c r="V183" s="632"/>
      <c r="W183" s="632"/>
      <c r="X183" s="632"/>
    </row>
    <row r="184" spans="1:24" ht="12" customHeight="1" x14ac:dyDescent="0.35">
      <c r="A184" s="632"/>
      <c r="B184" s="632"/>
      <c r="C184" s="632"/>
      <c r="D184" s="632"/>
      <c r="E184" s="632"/>
      <c r="F184" s="632"/>
      <c r="G184" s="632"/>
      <c r="H184" s="632"/>
      <c r="I184" s="632"/>
      <c r="J184" s="632"/>
      <c r="K184" s="632"/>
      <c r="L184" s="632"/>
      <c r="M184" s="632"/>
      <c r="N184" s="632"/>
      <c r="O184" s="632"/>
      <c r="P184" s="632"/>
      <c r="Q184" s="632"/>
      <c r="R184" s="632"/>
      <c r="S184" s="632"/>
      <c r="T184" s="632"/>
      <c r="U184" s="632"/>
      <c r="V184" s="632"/>
      <c r="W184" s="632"/>
      <c r="X184" s="632"/>
    </row>
    <row r="185" spans="1:24" ht="12" customHeight="1" x14ac:dyDescent="0.35">
      <c r="A185" s="632"/>
      <c r="B185" s="632"/>
      <c r="C185" s="632"/>
      <c r="D185" s="632"/>
      <c r="E185" s="632"/>
      <c r="F185" s="632"/>
      <c r="G185" s="632"/>
      <c r="H185" s="632"/>
      <c r="I185" s="632"/>
      <c r="J185" s="632"/>
      <c r="K185" s="632"/>
      <c r="L185" s="632"/>
      <c r="M185" s="632"/>
      <c r="N185" s="632"/>
      <c r="O185" s="632"/>
      <c r="P185" s="632"/>
      <c r="Q185" s="632"/>
      <c r="R185" s="632"/>
      <c r="S185" s="632"/>
      <c r="T185" s="632"/>
      <c r="U185" s="632"/>
      <c r="V185" s="632"/>
      <c r="W185" s="632"/>
      <c r="X185" s="632"/>
    </row>
    <row r="186" spans="1:24" ht="12" customHeight="1" x14ac:dyDescent="0.35">
      <c r="A186" s="632"/>
      <c r="B186" s="632"/>
      <c r="C186" s="632"/>
      <c r="D186" s="632"/>
      <c r="E186" s="632"/>
      <c r="F186" s="632"/>
      <c r="G186" s="632"/>
      <c r="H186" s="632"/>
      <c r="I186" s="632"/>
      <c r="J186" s="632"/>
      <c r="K186" s="632"/>
      <c r="L186" s="632"/>
      <c r="M186" s="632"/>
      <c r="N186" s="632"/>
      <c r="O186" s="632"/>
      <c r="P186" s="632"/>
      <c r="Q186" s="632"/>
      <c r="R186" s="632"/>
      <c r="S186" s="632"/>
      <c r="T186" s="632"/>
      <c r="U186" s="632"/>
      <c r="V186" s="632"/>
      <c r="W186" s="632"/>
      <c r="X186" s="632"/>
    </row>
    <row r="187" spans="1:24" ht="12" customHeight="1" x14ac:dyDescent="0.35">
      <c r="A187" s="632"/>
      <c r="B187" s="632"/>
      <c r="C187" s="632"/>
      <c r="D187" s="632"/>
      <c r="E187" s="632"/>
      <c r="F187" s="632"/>
      <c r="G187" s="632"/>
      <c r="H187" s="632"/>
      <c r="I187" s="632"/>
      <c r="J187" s="632"/>
      <c r="K187" s="632"/>
      <c r="L187" s="632"/>
      <c r="M187" s="632"/>
      <c r="N187" s="632"/>
      <c r="O187" s="632"/>
      <c r="P187" s="632"/>
      <c r="Q187" s="632"/>
      <c r="R187" s="632"/>
      <c r="S187" s="632"/>
      <c r="T187" s="632"/>
      <c r="U187" s="632"/>
      <c r="V187" s="632"/>
      <c r="W187" s="632"/>
      <c r="X187" s="632"/>
    </row>
    <row r="188" spans="1:24" ht="12" customHeight="1" x14ac:dyDescent="0.35">
      <c r="A188" s="632"/>
      <c r="B188" s="632"/>
      <c r="C188" s="632"/>
      <c r="D188" s="632"/>
      <c r="E188" s="632"/>
      <c r="F188" s="632"/>
      <c r="G188" s="632"/>
      <c r="H188" s="632"/>
      <c r="I188" s="632"/>
      <c r="J188" s="632"/>
      <c r="K188" s="632"/>
      <c r="L188" s="632"/>
      <c r="M188" s="632"/>
      <c r="N188" s="632"/>
      <c r="O188" s="632"/>
      <c r="P188" s="632"/>
      <c r="Q188" s="632"/>
      <c r="R188" s="632"/>
      <c r="S188" s="632"/>
      <c r="T188" s="632"/>
      <c r="U188" s="632"/>
      <c r="V188" s="632"/>
      <c r="W188" s="632"/>
      <c r="X188" s="632"/>
    </row>
    <row r="189" spans="1:24" ht="12" customHeight="1" x14ac:dyDescent="0.35">
      <c r="A189" s="632"/>
      <c r="B189" s="632"/>
      <c r="C189" s="632"/>
      <c r="D189" s="632"/>
      <c r="E189" s="632"/>
      <c r="F189" s="632"/>
      <c r="G189" s="632"/>
      <c r="H189" s="632"/>
      <c r="I189" s="632"/>
      <c r="J189" s="632"/>
      <c r="K189" s="632"/>
      <c r="L189" s="632"/>
      <c r="M189" s="632"/>
      <c r="N189" s="632"/>
      <c r="O189" s="632"/>
      <c r="P189" s="632"/>
      <c r="Q189" s="632"/>
      <c r="R189" s="632"/>
      <c r="S189" s="632"/>
      <c r="T189" s="632"/>
      <c r="U189" s="632"/>
      <c r="V189" s="632"/>
      <c r="W189" s="632"/>
      <c r="X189" s="632"/>
    </row>
    <row r="190" spans="1:24" ht="12" customHeight="1" x14ac:dyDescent="0.35">
      <c r="A190" s="632"/>
      <c r="B190" s="632"/>
      <c r="C190" s="632"/>
      <c r="D190" s="632"/>
      <c r="E190" s="632"/>
      <c r="F190" s="632"/>
      <c r="G190" s="632"/>
      <c r="H190" s="632"/>
      <c r="I190" s="632"/>
      <c r="J190" s="632"/>
      <c r="K190" s="632"/>
      <c r="L190" s="632"/>
      <c r="M190" s="632"/>
      <c r="N190" s="632"/>
      <c r="O190" s="632"/>
      <c r="P190" s="632"/>
      <c r="Q190" s="632"/>
      <c r="R190" s="632"/>
      <c r="S190" s="632"/>
      <c r="T190" s="632"/>
      <c r="U190" s="632"/>
      <c r="V190" s="632"/>
      <c r="W190" s="632"/>
      <c r="X190" s="632"/>
    </row>
    <row r="191" spans="1:24" ht="12" customHeight="1" x14ac:dyDescent="0.35">
      <c r="A191" s="632"/>
      <c r="B191" s="632"/>
      <c r="C191" s="632"/>
      <c r="D191" s="632"/>
      <c r="E191" s="632"/>
      <c r="F191" s="632"/>
      <c r="G191" s="632"/>
      <c r="H191" s="632"/>
      <c r="I191" s="632"/>
      <c r="J191" s="632"/>
      <c r="K191" s="632"/>
      <c r="L191" s="632"/>
      <c r="M191" s="632"/>
      <c r="N191" s="632"/>
      <c r="O191" s="632"/>
      <c r="P191" s="632"/>
      <c r="Q191" s="632"/>
      <c r="R191" s="632"/>
      <c r="S191" s="632"/>
      <c r="T191" s="632"/>
      <c r="U191" s="632"/>
      <c r="V191" s="632"/>
      <c r="W191" s="632"/>
      <c r="X191" s="632"/>
    </row>
    <row r="192" spans="1:24" ht="12" customHeight="1" x14ac:dyDescent="0.35">
      <c r="A192" s="632"/>
      <c r="B192" s="632"/>
      <c r="C192" s="632"/>
      <c r="D192" s="632"/>
      <c r="E192" s="632"/>
      <c r="F192" s="632"/>
      <c r="G192" s="632"/>
      <c r="H192" s="632"/>
      <c r="I192" s="632"/>
      <c r="J192" s="632"/>
      <c r="K192" s="632"/>
      <c r="L192" s="632"/>
      <c r="M192" s="632"/>
      <c r="N192" s="632"/>
      <c r="O192" s="632"/>
      <c r="P192" s="632"/>
      <c r="Q192" s="632"/>
      <c r="R192" s="632"/>
      <c r="S192" s="632"/>
      <c r="T192" s="632"/>
      <c r="U192" s="632"/>
      <c r="V192" s="632"/>
      <c r="W192" s="632"/>
      <c r="X192" s="632"/>
    </row>
    <row r="193" spans="1:24" ht="12" customHeight="1" x14ac:dyDescent="0.35">
      <c r="A193" s="632"/>
      <c r="B193" s="632"/>
      <c r="C193" s="632"/>
      <c r="D193" s="632"/>
      <c r="E193" s="632"/>
      <c r="F193" s="632"/>
      <c r="G193" s="632"/>
      <c r="H193" s="632"/>
      <c r="I193" s="632"/>
      <c r="J193" s="632"/>
      <c r="K193" s="632"/>
      <c r="L193" s="632"/>
      <c r="M193" s="632"/>
      <c r="N193" s="632"/>
      <c r="O193" s="632"/>
      <c r="P193" s="632"/>
      <c r="Q193" s="632"/>
      <c r="R193" s="632"/>
      <c r="S193" s="632"/>
      <c r="T193" s="632"/>
      <c r="U193" s="632"/>
      <c r="V193" s="632"/>
      <c r="W193" s="632"/>
      <c r="X193" s="632"/>
    </row>
    <row r="194" spans="1:24" ht="12" customHeight="1" x14ac:dyDescent="0.35">
      <c r="A194" s="632"/>
      <c r="B194" s="632"/>
      <c r="C194" s="632"/>
      <c r="D194" s="632"/>
      <c r="E194" s="632"/>
      <c r="F194" s="632"/>
      <c r="G194" s="632"/>
      <c r="H194" s="632"/>
      <c r="I194" s="632"/>
      <c r="J194" s="632"/>
      <c r="K194" s="632"/>
      <c r="L194" s="632"/>
      <c r="M194" s="632"/>
      <c r="N194" s="632"/>
      <c r="O194" s="632"/>
      <c r="P194" s="632"/>
      <c r="Q194" s="632"/>
      <c r="R194" s="632"/>
      <c r="S194" s="632"/>
      <c r="T194" s="632"/>
      <c r="U194" s="632"/>
      <c r="V194" s="632"/>
      <c r="W194" s="632"/>
      <c r="X194" s="632"/>
    </row>
    <row r="195" spans="1:24" ht="12" customHeight="1" x14ac:dyDescent="0.35">
      <c r="A195" s="632"/>
      <c r="B195" s="632"/>
      <c r="C195" s="632"/>
      <c r="D195" s="632"/>
      <c r="E195" s="632"/>
      <c r="F195" s="632"/>
      <c r="G195" s="632"/>
      <c r="H195" s="632"/>
      <c r="I195" s="632"/>
      <c r="J195" s="632"/>
      <c r="K195" s="632"/>
      <c r="L195" s="632"/>
      <c r="M195" s="632"/>
      <c r="N195" s="632"/>
      <c r="O195" s="632"/>
      <c r="P195" s="632"/>
      <c r="Q195" s="632"/>
      <c r="R195" s="632"/>
      <c r="S195" s="632"/>
      <c r="T195" s="632"/>
      <c r="U195" s="632"/>
      <c r="V195" s="632"/>
      <c r="W195" s="632"/>
      <c r="X195" s="632"/>
    </row>
    <row r="196" spans="1:24" ht="12" customHeight="1" x14ac:dyDescent="0.35">
      <c r="A196" s="632"/>
      <c r="B196" s="632"/>
      <c r="C196" s="632"/>
      <c r="D196" s="632"/>
      <c r="E196" s="632"/>
      <c r="F196" s="632"/>
      <c r="G196" s="632"/>
      <c r="H196" s="632"/>
      <c r="I196" s="632"/>
      <c r="J196" s="632"/>
      <c r="K196" s="632"/>
      <c r="L196" s="632"/>
      <c r="M196" s="632"/>
      <c r="N196" s="632"/>
      <c r="O196" s="632"/>
      <c r="P196" s="632"/>
      <c r="Q196" s="632"/>
      <c r="R196" s="632"/>
      <c r="S196" s="632"/>
      <c r="T196" s="632"/>
      <c r="U196" s="632"/>
      <c r="V196" s="632"/>
      <c r="W196" s="632"/>
      <c r="X196" s="632"/>
    </row>
    <row r="197" spans="1:24" ht="12" customHeight="1" x14ac:dyDescent="0.35">
      <c r="A197" s="632"/>
      <c r="B197" s="632"/>
      <c r="C197" s="632"/>
      <c r="D197" s="632"/>
      <c r="E197" s="632"/>
      <c r="F197" s="632"/>
      <c r="G197" s="632"/>
      <c r="H197" s="632"/>
      <c r="I197" s="632"/>
      <c r="J197" s="632"/>
      <c r="K197" s="632"/>
      <c r="L197" s="632"/>
      <c r="M197" s="632"/>
      <c r="N197" s="632"/>
      <c r="O197" s="632"/>
      <c r="P197" s="632"/>
      <c r="Q197" s="632"/>
      <c r="R197" s="632"/>
      <c r="S197" s="632"/>
      <c r="T197" s="632"/>
      <c r="U197" s="632"/>
      <c r="V197" s="632"/>
      <c r="W197" s="632"/>
      <c r="X197" s="632"/>
    </row>
    <row r="198" spans="1:24" ht="12" customHeight="1" x14ac:dyDescent="0.35">
      <c r="A198" s="632"/>
      <c r="B198" s="632"/>
      <c r="C198" s="632"/>
      <c r="D198" s="632"/>
      <c r="E198" s="632"/>
      <c r="F198" s="632"/>
      <c r="G198" s="632"/>
      <c r="H198" s="632"/>
      <c r="I198" s="632"/>
      <c r="J198" s="632"/>
      <c r="K198" s="632"/>
      <c r="L198" s="632"/>
      <c r="M198" s="632"/>
      <c r="N198" s="632"/>
      <c r="O198" s="632"/>
      <c r="P198" s="632"/>
      <c r="Q198" s="632"/>
      <c r="R198" s="632"/>
      <c r="S198" s="632"/>
      <c r="T198" s="632"/>
      <c r="U198" s="632"/>
      <c r="V198" s="632"/>
      <c r="W198" s="632"/>
      <c r="X198" s="632"/>
    </row>
    <row r="199" spans="1:24" ht="12" customHeight="1" x14ac:dyDescent="0.35">
      <c r="A199" s="632"/>
      <c r="B199" s="632"/>
      <c r="C199" s="632"/>
      <c r="D199" s="632"/>
      <c r="E199" s="632"/>
      <c r="F199" s="632"/>
      <c r="G199" s="632"/>
      <c r="H199" s="632"/>
      <c r="I199" s="632"/>
      <c r="J199" s="632"/>
      <c r="K199" s="632"/>
      <c r="L199" s="632"/>
      <c r="M199" s="632"/>
      <c r="N199" s="632"/>
      <c r="O199" s="632"/>
      <c r="P199" s="632"/>
      <c r="Q199" s="632"/>
      <c r="R199" s="632"/>
      <c r="S199" s="632"/>
      <c r="T199" s="632"/>
      <c r="U199" s="632"/>
      <c r="V199" s="632"/>
      <c r="W199" s="632"/>
      <c r="X199" s="632"/>
    </row>
    <row r="200" spans="1:24" ht="12" customHeight="1" x14ac:dyDescent="0.35">
      <c r="A200" s="632"/>
      <c r="B200" s="632"/>
      <c r="C200" s="632"/>
      <c r="D200" s="632"/>
      <c r="E200" s="632"/>
      <c r="F200" s="632"/>
      <c r="G200" s="632"/>
      <c r="H200" s="632"/>
      <c r="I200" s="632"/>
      <c r="J200" s="632"/>
      <c r="K200" s="632"/>
      <c r="L200" s="632"/>
      <c r="M200" s="632"/>
      <c r="N200" s="632"/>
      <c r="O200" s="632"/>
      <c r="P200" s="632"/>
      <c r="Q200" s="632"/>
      <c r="R200" s="632"/>
      <c r="S200" s="632"/>
      <c r="T200" s="632"/>
      <c r="U200" s="632"/>
      <c r="V200" s="632"/>
      <c r="W200" s="632"/>
      <c r="X200" s="632"/>
    </row>
    <row r="201" spans="1:24" ht="12" customHeight="1" x14ac:dyDescent="0.35">
      <c r="A201" s="632"/>
      <c r="B201" s="632"/>
      <c r="C201" s="632"/>
      <c r="D201" s="632"/>
      <c r="E201" s="632"/>
      <c r="F201" s="632"/>
      <c r="G201" s="632"/>
      <c r="H201" s="632"/>
      <c r="I201" s="632"/>
      <c r="J201" s="632"/>
      <c r="K201" s="632"/>
      <c r="L201" s="632"/>
      <c r="M201" s="632"/>
      <c r="N201" s="632"/>
      <c r="O201" s="632"/>
      <c r="P201" s="632"/>
      <c r="Q201" s="632"/>
      <c r="R201" s="632"/>
      <c r="S201" s="632"/>
      <c r="T201" s="632"/>
      <c r="U201" s="632"/>
      <c r="V201" s="632"/>
      <c r="W201" s="632"/>
      <c r="X201" s="632"/>
    </row>
    <row r="202" spans="1:24" ht="12" customHeight="1" x14ac:dyDescent="0.35">
      <c r="A202" s="632"/>
      <c r="B202" s="632"/>
      <c r="C202" s="632"/>
      <c r="D202" s="632"/>
      <c r="E202" s="632"/>
      <c r="F202" s="632"/>
      <c r="G202" s="632"/>
      <c r="H202" s="632"/>
      <c r="I202" s="632"/>
      <c r="J202" s="632"/>
      <c r="K202" s="632"/>
      <c r="L202" s="632"/>
      <c r="M202" s="632"/>
      <c r="N202" s="632"/>
      <c r="O202" s="632"/>
      <c r="P202" s="632"/>
      <c r="Q202" s="632"/>
      <c r="R202" s="632"/>
      <c r="S202" s="632"/>
      <c r="T202" s="632"/>
      <c r="U202" s="632"/>
      <c r="V202" s="632"/>
      <c r="W202" s="632"/>
      <c r="X202" s="632"/>
    </row>
    <row r="203" spans="1:24" ht="12" customHeight="1" x14ac:dyDescent="0.35">
      <c r="A203" s="632"/>
      <c r="B203" s="632"/>
      <c r="C203" s="632"/>
      <c r="D203" s="632"/>
      <c r="E203" s="632"/>
      <c r="F203" s="632"/>
      <c r="G203" s="632"/>
      <c r="H203" s="632"/>
      <c r="I203" s="632"/>
      <c r="J203" s="632"/>
      <c r="K203" s="632"/>
      <c r="L203" s="632"/>
      <c r="M203" s="632"/>
      <c r="N203" s="632"/>
      <c r="O203" s="632"/>
      <c r="P203" s="632"/>
      <c r="Q203" s="632"/>
      <c r="R203" s="632"/>
      <c r="S203" s="632"/>
      <c r="T203" s="632"/>
      <c r="U203" s="632"/>
      <c r="V203" s="632"/>
      <c r="W203" s="632"/>
      <c r="X203" s="632"/>
    </row>
    <row r="204" spans="1:24" ht="12" customHeight="1" x14ac:dyDescent="0.35">
      <c r="A204" s="632"/>
      <c r="B204" s="632"/>
      <c r="C204" s="632"/>
      <c r="D204" s="632"/>
      <c r="E204" s="632"/>
      <c r="F204" s="632"/>
      <c r="G204" s="632"/>
      <c r="H204" s="632"/>
      <c r="I204" s="632"/>
      <c r="J204" s="632"/>
      <c r="K204" s="632"/>
      <c r="L204" s="632"/>
      <c r="M204" s="632"/>
      <c r="N204" s="632"/>
      <c r="O204" s="632"/>
      <c r="P204" s="632"/>
      <c r="Q204" s="632"/>
      <c r="R204" s="632"/>
      <c r="S204" s="632"/>
      <c r="T204" s="632"/>
      <c r="U204" s="632"/>
      <c r="V204" s="632"/>
      <c r="W204" s="632"/>
      <c r="X204" s="632"/>
    </row>
    <row r="205" spans="1:24" ht="12" customHeight="1" x14ac:dyDescent="0.35">
      <c r="A205" s="632"/>
      <c r="B205" s="632"/>
      <c r="C205" s="632"/>
      <c r="D205" s="632"/>
      <c r="E205" s="632"/>
      <c r="F205" s="632"/>
      <c r="G205" s="632"/>
      <c r="H205" s="632"/>
      <c r="I205" s="632"/>
      <c r="J205" s="632"/>
      <c r="K205" s="632"/>
      <c r="L205" s="632"/>
      <c r="M205" s="632"/>
      <c r="N205" s="632"/>
      <c r="O205" s="632"/>
      <c r="P205" s="632"/>
      <c r="Q205" s="632"/>
      <c r="R205" s="632"/>
      <c r="S205" s="632"/>
      <c r="T205" s="632"/>
      <c r="U205" s="632"/>
      <c r="V205" s="632"/>
      <c r="W205" s="632"/>
      <c r="X205" s="632"/>
    </row>
    <row r="206" spans="1:24" ht="12" customHeight="1" x14ac:dyDescent="0.35">
      <c r="A206" s="632"/>
      <c r="B206" s="632"/>
      <c r="C206" s="632"/>
      <c r="D206" s="632"/>
      <c r="E206" s="632"/>
      <c r="F206" s="632"/>
      <c r="G206" s="632"/>
      <c r="H206" s="632"/>
      <c r="I206" s="632"/>
      <c r="J206" s="632"/>
      <c r="K206" s="632"/>
      <c r="L206" s="632"/>
      <c r="M206" s="632"/>
      <c r="N206" s="632"/>
      <c r="O206" s="632"/>
      <c r="P206" s="632"/>
      <c r="Q206" s="632"/>
      <c r="R206" s="632"/>
      <c r="S206" s="632"/>
      <c r="T206" s="632"/>
      <c r="U206" s="632"/>
      <c r="V206" s="632"/>
      <c r="W206" s="632"/>
      <c r="X206" s="632"/>
    </row>
    <row r="207" spans="1:24" ht="12" customHeight="1" x14ac:dyDescent="0.35">
      <c r="A207" s="632"/>
      <c r="B207" s="632"/>
      <c r="C207" s="632"/>
      <c r="D207" s="632"/>
      <c r="E207" s="632"/>
      <c r="F207" s="632"/>
      <c r="G207" s="632"/>
      <c r="H207" s="632"/>
      <c r="I207" s="632"/>
      <c r="J207" s="632"/>
      <c r="K207" s="632"/>
      <c r="L207" s="632"/>
      <c r="M207" s="632"/>
      <c r="N207" s="632"/>
      <c r="O207" s="632"/>
      <c r="P207" s="632"/>
      <c r="Q207" s="632"/>
      <c r="R207" s="632"/>
      <c r="S207" s="632"/>
      <c r="T207" s="632"/>
      <c r="U207" s="632"/>
      <c r="V207" s="632"/>
      <c r="W207" s="632"/>
      <c r="X207" s="632"/>
    </row>
    <row r="208" spans="1:24" ht="12" customHeight="1" x14ac:dyDescent="0.35">
      <c r="A208" s="632"/>
      <c r="B208" s="632"/>
      <c r="C208" s="632"/>
      <c r="D208" s="632"/>
      <c r="E208" s="632"/>
      <c r="F208" s="632"/>
      <c r="G208" s="632"/>
      <c r="H208" s="632"/>
      <c r="I208" s="632"/>
      <c r="J208" s="632"/>
      <c r="K208" s="632"/>
      <c r="L208" s="632"/>
      <c r="M208" s="632"/>
      <c r="N208" s="632"/>
      <c r="O208" s="632"/>
      <c r="P208" s="632"/>
      <c r="Q208" s="632"/>
      <c r="R208" s="632"/>
      <c r="S208" s="632"/>
      <c r="T208" s="632"/>
      <c r="U208" s="632"/>
      <c r="V208" s="632"/>
      <c r="W208" s="632"/>
      <c r="X208" s="632"/>
    </row>
    <row r="209" spans="1:24" ht="12" customHeight="1" x14ac:dyDescent="0.35">
      <c r="A209" s="632"/>
      <c r="B209" s="632"/>
      <c r="C209" s="632"/>
      <c r="D209" s="632"/>
      <c r="E209" s="632"/>
      <c r="F209" s="632"/>
      <c r="G209" s="632"/>
      <c r="H209" s="632"/>
      <c r="I209" s="632"/>
      <c r="J209" s="632"/>
      <c r="K209" s="632"/>
      <c r="L209" s="632"/>
      <c r="M209" s="632"/>
      <c r="N209" s="632"/>
      <c r="O209" s="632"/>
      <c r="P209" s="632"/>
      <c r="Q209" s="632"/>
      <c r="R209" s="632"/>
      <c r="S209" s="632"/>
      <c r="T209" s="632"/>
      <c r="U209" s="632"/>
      <c r="V209" s="632"/>
      <c r="W209" s="632"/>
      <c r="X209" s="632"/>
    </row>
    <row r="210" spans="1:24" ht="12" customHeight="1" x14ac:dyDescent="0.35">
      <c r="A210" s="632"/>
      <c r="B210" s="632"/>
      <c r="C210" s="632"/>
      <c r="D210" s="632"/>
      <c r="E210" s="632"/>
      <c r="F210" s="632"/>
      <c r="G210" s="632"/>
      <c r="H210" s="632"/>
      <c r="I210" s="632"/>
      <c r="J210" s="632"/>
      <c r="K210" s="632"/>
      <c r="L210" s="632"/>
      <c r="M210" s="632"/>
      <c r="N210" s="632"/>
      <c r="O210" s="632"/>
      <c r="P210" s="632"/>
      <c r="Q210" s="632"/>
      <c r="R210" s="632"/>
      <c r="S210" s="632"/>
      <c r="T210" s="632"/>
      <c r="U210" s="632"/>
      <c r="V210" s="632"/>
      <c r="W210" s="632"/>
      <c r="X210" s="632"/>
    </row>
    <row r="211" spans="1:24" ht="12" customHeight="1" x14ac:dyDescent="0.35">
      <c r="A211" s="632"/>
      <c r="B211" s="632"/>
      <c r="C211" s="632"/>
      <c r="D211" s="632"/>
      <c r="E211" s="632"/>
      <c r="F211" s="632"/>
      <c r="G211" s="632"/>
      <c r="H211" s="632"/>
      <c r="I211" s="632"/>
      <c r="J211" s="632"/>
      <c r="K211" s="632"/>
      <c r="L211" s="632"/>
      <c r="M211" s="632"/>
      <c r="N211" s="632"/>
      <c r="O211" s="632"/>
      <c r="P211" s="632"/>
      <c r="Q211" s="632"/>
      <c r="R211" s="632"/>
      <c r="S211" s="632"/>
      <c r="T211" s="632"/>
      <c r="U211" s="632"/>
      <c r="V211" s="632"/>
      <c r="W211" s="632"/>
      <c r="X211" s="632"/>
    </row>
    <row r="212" spans="1:24" ht="12" customHeight="1" x14ac:dyDescent="0.35">
      <c r="A212" s="632"/>
      <c r="B212" s="632"/>
      <c r="C212" s="632"/>
      <c r="D212" s="632"/>
      <c r="E212" s="632"/>
      <c r="F212" s="632"/>
      <c r="G212" s="632"/>
      <c r="H212" s="632"/>
      <c r="I212" s="632"/>
      <c r="J212" s="632"/>
      <c r="K212" s="632"/>
      <c r="L212" s="632"/>
      <c r="M212" s="632"/>
      <c r="N212" s="632"/>
      <c r="O212" s="632"/>
      <c r="P212" s="632"/>
      <c r="Q212" s="632"/>
      <c r="R212" s="632"/>
      <c r="S212" s="632"/>
      <c r="T212" s="632"/>
      <c r="U212" s="632"/>
      <c r="V212" s="632"/>
      <c r="W212" s="632"/>
      <c r="X212" s="632"/>
    </row>
    <row r="213" spans="1:24" ht="12" customHeight="1" x14ac:dyDescent="0.35">
      <c r="A213" s="632"/>
      <c r="B213" s="632"/>
      <c r="C213" s="632"/>
      <c r="D213" s="632"/>
      <c r="E213" s="632"/>
      <c r="F213" s="632"/>
      <c r="G213" s="632"/>
      <c r="H213" s="632"/>
      <c r="I213" s="632"/>
      <c r="J213" s="632"/>
      <c r="K213" s="632"/>
      <c r="L213" s="632"/>
      <c r="M213" s="632"/>
      <c r="N213" s="632"/>
      <c r="O213" s="632"/>
      <c r="P213" s="632"/>
      <c r="Q213" s="632"/>
      <c r="R213" s="632"/>
      <c r="S213" s="632"/>
      <c r="T213" s="632"/>
      <c r="U213" s="632"/>
      <c r="V213" s="632"/>
      <c r="W213" s="632"/>
      <c r="X213" s="632"/>
    </row>
    <row r="214" spans="1:24" ht="12" customHeight="1" x14ac:dyDescent="0.35">
      <c r="A214" s="632"/>
      <c r="B214" s="632"/>
      <c r="C214" s="632"/>
      <c r="D214" s="632"/>
      <c r="E214" s="632"/>
      <c r="F214" s="632"/>
      <c r="G214" s="632"/>
      <c r="H214" s="632"/>
      <c r="I214" s="632"/>
      <c r="J214" s="632"/>
      <c r="K214" s="632"/>
      <c r="L214" s="632"/>
      <c r="M214" s="632"/>
      <c r="N214" s="632"/>
      <c r="O214" s="632"/>
      <c r="P214" s="632"/>
      <c r="Q214" s="632"/>
      <c r="R214" s="632"/>
      <c r="S214" s="632"/>
      <c r="T214" s="632"/>
      <c r="U214" s="632"/>
      <c r="V214" s="632"/>
      <c r="W214" s="632"/>
      <c r="X214" s="632"/>
    </row>
    <row r="215" spans="1:24" ht="12" customHeight="1" x14ac:dyDescent="0.35">
      <c r="A215" s="632"/>
      <c r="B215" s="632"/>
      <c r="C215" s="632"/>
      <c r="D215" s="632"/>
      <c r="E215" s="632"/>
      <c r="F215" s="632"/>
      <c r="G215" s="632"/>
      <c r="H215" s="632"/>
      <c r="I215" s="632"/>
      <c r="J215" s="632"/>
      <c r="K215" s="632"/>
      <c r="L215" s="632"/>
      <c r="M215" s="632"/>
      <c r="N215" s="632"/>
      <c r="O215" s="632"/>
      <c r="P215" s="632"/>
      <c r="Q215" s="632"/>
      <c r="R215" s="632"/>
      <c r="S215" s="632"/>
      <c r="T215" s="632"/>
      <c r="U215" s="632"/>
      <c r="V215" s="632"/>
      <c r="W215" s="632"/>
      <c r="X215" s="632"/>
    </row>
    <row r="216" spans="1:24" ht="12" customHeight="1" x14ac:dyDescent="0.35">
      <c r="A216" s="632"/>
      <c r="B216" s="632"/>
      <c r="C216" s="632"/>
      <c r="D216" s="632"/>
      <c r="E216" s="632"/>
      <c r="F216" s="632"/>
      <c r="G216" s="632"/>
      <c r="H216" s="632"/>
      <c r="I216" s="632"/>
      <c r="J216" s="632"/>
      <c r="K216" s="632"/>
      <c r="L216" s="632"/>
      <c r="M216" s="632"/>
      <c r="N216" s="632"/>
      <c r="O216" s="632"/>
      <c r="P216" s="632"/>
      <c r="Q216" s="632"/>
      <c r="R216" s="632"/>
      <c r="S216" s="632"/>
      <c r="T216" s="632"/>
      <c r="U216" s="632"/>
      <c r="V216" s="632"/>
      <c r="W216" s="632"/>
      <c r="X216" s="632"/>
    </row>
    <row r="217" spans="1:24" ht="12" customHeight="1" x14ac:dyDescent="0.35">
      <c r="A217" s="632"/>
      <c r="B217" s="632"/>
      <c r="C217" s="632"/>
      <c r="D217" s="632"/>
      <c r="E217" s="632"/>
      <c r="F217" s="632"/>
      <c r="G217" s="632"/>
      <c r="H217" s="632"/>
      <c r="I217" s="632"/>
      <c r="J217" s="632"/>
      <c r="K217" s="632"/>
      <c r="L217" s="632"/>
      <c r="M217" s="632"/>
      <c r="N217" s="632"/>
      <c r="O217" s="632"/>
      <c r="P217" s="632"/>
      <c r="Q217" s="632"/>
      <c r="R217" s="632"/>
      <c r="S217" s="632"/>
      <c r="T217" s="632"/>
      <c r="U217" s="632"/>
      <c r="V217" s="632"/>
      <c r="W217" s="632"/>
      <c r="X217" s="632"/>
    </row>
    <row r="218" spans="1:24" ht="12" customHeight="1" x14ac:dyDescent="0.35">
      <c r="A218" s="632"/>
      <c r="B218" s="632"/>
      <c r="C218" s="632"/>
      <c r="D218" s="632"/>
      <c r="E218" s="632"/>
      <c r="F218" s="632"/>
      <c r="G218" s="632"/>
      <c r="H218" s="632"/>
      <c r="I218" s="632"/>
      <c r="J218" s="632"/>
      <c r="K218" s="632"/>
      <c r="L218" s="632"/>
      <c r="M218" s="632"/>
      <c r="N218" s="632"/>
      <c r="O218" s="632"/>
      <c r="P218" s="632"/>
      <c r="Q218" s="632"/>
      <c r="R218" s="632"/>
      <c r="S218" s="632"/>
      <c r="T218" s="632"/>
      <c r="U218" s="632"/>
      <c r="V218" s="632"/>
      <c r="W218" s="632"/>
      <c r="X218" s="632"/>
    </row>
    <row r="219" spans="1:24" ht="12" customHeight="1" x14ac:dyDescent="0.35">
      <c r="A219" s="632"/>
      <c r="B219" s="632"/>
      <c r="C219" s="632"/>
      <c r="D219" s="632"/>
      <c r="E219" s="632"/>
      <c r="F219" s="632"/>
      <c r="G219" s="632"/>
      <c r="H219" s="632"/>
      <c r="I219" s="632"/>
      <c r="J219" s="632"/>
      <c r="K219" s="632"/>
      <c r="L219" s="632"/>
      <c r="M219" s="632"/>
      <c r="N219" s="632"/>
      <c r="O219" s="632"/>
      <c r="P219" s="632"/>
      <c r="Q219" s="632"/>
      <c r="R219" s="632"/>
      <c r="S219" s="632"/>
      <c r="T219" s="632"/>
      <c r="U219" s="632"/>
      <c r="V219" s="632"/>
      <c r="W219" s="632"/>
      <c r="X219" s="632"/>
    </row>
    <row r="220" spans="1:24" ht="12" customHeight="1" x14ac:dyDescent="0.35">
      <c r="A220" s="632"/>
      <c r="B220" s="632"/>
      <c r="C220" s="632"/>
      <c r="D220" s="632"/>
      <c r="E220" s="632"/>
      <c r="F220" s="632"/>
      <c r="G220" s="632"/>
      <c r="H220" s="632"/>
      <c r="I220" s="632"/>
      <c r="J220" s="632"/>
      <c r="K220" s="632"/>
      <c r="L220" s="632"/>
      <c r="M220" s="632"/>
      <c r="N220" s="632"/>
      <c r="O220" s="632"/>
      <c r="P220" s="632"/>
      <c r="Q220" s="632"/>
      <c r="R220" s="632"/>
      <c r="S220" s="632"/>
      <c r="T220" s="632"/>
      <c r="U220" s="632"/>
      <c r="V220" s="632"/>
      <c r="W220" s="632"/>
      <c r="X220" s="632"/>
    </row>
    <row r="221" spans="1:24" ht="12" customHeight="1" x14ac:dyDescent="0.3">
      <c r="F221" s="118"/>
    </row>
    <row r="222" spans="1:24" ht="12" customHeight="1" x14ac:dyDescent="0.3">
      <c r="F222" s="118"/>
    </row>
    <row r="223" spans="1:24" ht="12" customHeight="1" x14ac:dyDescent="0.3">
      <c r="F223" s="118"/>
    </row>
    <row r="224" spans="1:24" ht="12" customHeight="1" x14ac:dyDescent="0.3">
      <c r="F224" s="118"/>
    </row>
    <row r="225" spans="6:6" ht="12" customHeight="1" x14ac:dyDescent="0.3">
      <c r="F225" s="118"/>
    </row>
    <row r="226" spans="6:6" ht="12" customHeight="1" x14ac:dyDescent="0.3">
      <c r="F226" s="118"/>
    </row>
    <row r="227" spans="6:6" ht="12" customHeight="1" x14ac:dyDescent="0.3">
      <c r="F227" s="118"/>
    </row>
    <row r="228" spans="6:6" ht="12" customHeight="1" x14ac:dyDescent="0.3">
      <c r="F228" s="118"/>
    </row>
    <row r="229" spans="6:6" ht="12" customHeight="1" x14ac:dyDescent="0.3">
      <c r="F229" s="118"/>
    </row>
    <row r="230" spans="6:6" ht="12" customHeight="1" x14ac:dyDescent="0.3">
      <c r="F230" s="118"/>
    </row>
    <row r="231" spans="6:6" ht="12" customHeight="1" x14ac:dyDescent="0.3">
      <c r="F231" s="118"/>
    </row>
    <row r="232" spans="6:6" ht="12" customHeight="1" x14ac:dyDescent="0.3">
      <c r="F232" s="118"/>
    </row>
    <row r="233" spans="6:6" ht="12" customHeight="1" x14ac:dyDescent="0.3">
      <c r="F233" s="118"/>
    </row>
    <row r="234" spans="6:6" ht="12" customHeight="1" x14ac:dyDescent="0.3">
      <c r="F234" s="118"/>
    </row>
    <row r="235" spans="6:6" ht="12" customHeight="1" x14ac:dyDescent="0.3">
      <c r="F235" s="118"/>
    </row>
    <row r="236" spans="6:6" ht="12" customHeight="1" x14ac:dyDescent="0.3">
      <c r="F236" s="118"/>
    </row>
    <row r="237" spans="6:6" ht="12" customHeight="1" x14ac:dyDescent="0.3">
      <c r="F237" s="118"/>
    </row>
    <row r="238" spans="6:6" ht="12" customHeight="1" x14ac:dyDescent="0.3">
      <c r="F238" s="118"/>
    </row>
    <row r="239" spans="6:6" ht="12" customHeight="1" x14ac:dyDescent="0.3">
      <c r="F239" s="118"/>
    </row>
    <row r="240" spans="6:6" ht="12" customHeight="1" x14ac:dyDescent="0.3">
      <c r="F240" s="118"/>
    </row>
    <row r="241" spans="6:6" ht="12" customHeight="1" x14ac:dyDescent="0.3">
      <c r="F241" s="118"/>
    </row>
    <row r="242" spans="6:6" ht="12" customHeight="1" x14ac:dyDescent="0.3">
      <c r="F242" s="118"/>
    </row>
    <row r="243" spans="6:6" ht="12" customHeight="1" x14ac:dyDescent="0.3">
      <c r="F243" s="118"/>
    </row>
    <row r="244" spans="6:6" ht="12" customHeight="1" x14ac:dyDescent="0.3">
      <c r="F244" s="118"/>
    </row>
    <row r="245" spans="6:6" ht="12" customHeight="1" x14ac:dyDescent="0.3">
      <c r="F245" s="118"/>
    </row>
    <row r="246" spans="6:6" ht="12" customHeight="1" x14ac:dyDescent="0.3">
      <c r="F246" s="118"/>
    </row>
    <row r="247" spans="6:6" ht="12" customHeight="1" x14ac:dyDescent="0.3">
      <c r="F247" s="118"/>
    </row>
    <row r="248" spans="6:6" ht="12" customHeight="1" x14ac:dyDescent="0.3">
      <c r="F248" s="118"/>
    </row>
    <row r="249" spans="6:6" ht="12" customHeight="1" x14ac:dyDescent="0.3">
      <c r="F249" s="118"/>
    </row>
    <row r="250" spans="6:6" ht="12" customHeight="1" x14ac:dyDescent="0.3">
      <c r="F250" s="118"/>
    </row>
    <row r="251" spans="6:6" ht="12" customHeight="1" x14ac:dyDescent="0.3">
      <c r="F251" s="118"/>
    </row>
    <row r="252" spans="6:6" ht="12" customHeight="1" x14ac:dyDescent="0.3">
      <c r="F252" s="118"/>
    </row>
    <row r="253" spans="6:6" ht="12" customHeight="1" x14ac:dyDescent="0.3">
      <c r="F253" s="118"/>
    </row>
    <row r="254" spans="6:6" ht="12" customHeight="1" x14ac:dyDescent="0.3">
      <c r="F254" s="118"/>
    </row>
    <row r="255" spans="6:6" ht="12" customHeight="1" x14ac:dyDescent="0.3">
      <c r="F255" s="118"/>
    </row>
    <row r="256" spans="6:6" ht="12" customHeight="1" x14ac:dyDescent="0.3">
      <c r="F256" s="118"/>
    </row>
    <row r="257" spans="6:6" ht="12" customHeight="1" x14ac:dyDescent="0.3">
      <c r="F257" s="118"/>
    </row>
    <row r="258" spans="6:6" ht="12" customHeight="1" x14ac:dyDescent="0.3">
      <c r="F258" s="118"/>
    </row>
    <row r="259" spans="6:6" ht="12" customHeight="1" x14ac:dyDescent="0.3">
      <c r="F259" s="118"/>
    </row>
    <row r="260" spans="6:6" ht="12" customHeight="1" x14ac:dyDescent="0.3">
      <c r="F260" s="118"/>
    </row>
    <row r="261" spans="6:6" ht="12" customHeight="1" x14ac:dyDescent="0.3">
      <c r="F261" s="118"/>
    </row>
    <row r="262" spans="6:6" ht="12" customHeight="1" x14ac:dyDescent="0.3">
      <c r="F262" s="118"/>
    </row>
    <row r="263" spans="6:6" ht="12" customHeight="1" x14ac:dyDescent="0.3">
      <c r="F263" s="118"/>
    </row>
    <row r="264" spans="6:6" ht="12" customHeight="1" x14ac:dyDescent="0.3">
      <c r="F264" s="118"/>
    </row>
    <row r="265" spans="6:6" ht="12" customHeight="1" x14ac:dyDescent="0.3">
      <c r="F265" s="118"/>
    </row>
    <row r="266" spans="6:6" ht="12" customHeight="1" x14ac:dyDescent="0.3">
      <c r="F266" s="118"/>
    </row>
    <row r="267" spans="6:6" ht="12" customHeight="1" x14ac:dyDescent="0.3">
      <c r="F267" s="118"/>
    </row>
    <row r="268" spans="6:6" ht="12" customHeight="1" x14ac:dyDescent="0.3">
      <c r="F268" s="118"/>
    </row>
    <row r="269" spans="6:6" ht="12" customHeight="1" x14ac:dyDescent="0.3">
      <c r="F269" s="118"/>
    </row>
    <row r="270" spans="6:6" ht="12" customHeight="1" x14ac:dyDescent="0.3">
      <c r="F270" s="118"/>
    </row>
    <row r="271" spans="6:6" ht="12" customHeight="1" x14ac:dyDescent="0.3">
      <c r="F271" s="118"/>
    </row>
    <row r="272" spans="6:6" ht="12" customHeight="1" x14ac:dyDescent="0.3">
      <c r="F272" s="118"/>
    </row>
    <row r="273" spans="6:6" ht="12" customHeight="1" x14ac:dyDescent="0.3">
      <c r="F273" s="118"/>
    </row>
    <row r="274" spans="6:6" ht="12" customHeight="1" x14ac:dyDescent="0.3">
      <c r="F274" s="118"/>
    </row>
    <row r="275" spans="6:6" ht="12" customHeight="1" x14ac:dyDescent="0.3">
      <c r="F275" s="118"/>
    </row>
    <row r="276" spans="6:6" ht="12" customHeight="1" x14ac:dyDescent="0.3">
      <c r="F276" s="118"/>
    </row>
    <row r="277" spans="6:6" ht="12" customHeight="1" x14ac:dyDescent="0.3">
      <c r="F277" s="118"/>
    </row>
    <row r="278" spans="6:6" ht="12" customHeight="1" x14ac:dyDescent="0.3">
      <c r="F278" s="118"/>
    </row>
    <row r="279" spans="6:6" ht="12" customHeight="1" x14ac:dyDescent="0.3">
      <c r="F279" s="118"/>
    </row>
    <row r="280" spans="6:6" ht="12" customHeight="1" x14ac:dyDescent="0.3">
      <c r="F280" s="118"/>
    </row>
    <row r="281" spans="6:6" ht="12" customHeight="1" x14ac:dyDescent="0.3">
      <c r="F281" s="118"/>
    </row>
    <row r="282" spans="6:6" ht="12" customHeight="1" x14ac:dyDescent="0.3">
      <c r="F282" s="118"/>
    </row>
    <row r="283" spans="6:6" ht="12" customHeight="1" x14ac:dyDescent="0.3">
      <c r="F283" s="118"/>
    </row>
    <row r="284" spans="6:6" ht="12" customHeight="1" x14ac:dyDescent="0.3">
      <c r="F284" s="118"/>
    </row>
    <row r="285" spans="6:6" ht="12" customHeight="1" x14ac:dyDescent="0.3">
      <c r="F285" s="118"/>
    </row>
    <row r="286" spans="6:6" ht="12" customHeight="1" x14ac:dyDescent="0.3">
      <c r="F286" s="118"/>
    </row>
    <row r="287" spans="6:6" ht="12" customHeight="1" x14ac:dyDescent="0.3">
      <c r="F287" s="118"/>
    </row>
    <row r="288" spans="6:6" ht="12" customHeight="1" x14ac:dyDescent="0.3">
      <c r="F288" s="118"/>
    </row>
    <row r="289" spans="6:6" ht="12" customHeight="1" x14ac:dyDescent="0.3">
      <c r="F289" s="118"/>
    </row>
    <row r="290" spans="6:6" ht="12" customHeight="1" x14ac:dyDescent="0.3">
      <c r="F290" s="118"/>
    </row>
    <row r="291" spans="6:6" ht="12" customHeight="1" x14ac:dyDescent="0.3">
      <c r="F291" s="118"/>
    </row>
    <row r="292" spans="6:6" ht="12" customHeight="1" x14ac:dyDescent="0.3">
      <c r="F292" s="118"/>
    </row>
    <row r="293" spans="6:6" ht="12" customHeight="1" x14ac:dyDescent="0.3">
      <c r="F293" s="118"/>
    </row>
    <row r="294" spans="6:6" ht="12" customHeight="1" x14ac:dyDescent="0.3">
      <c r="F294" s="118"/>
    </row>
    <row r="295" spans="6:6" ht="12" customHeight="1" x14ac:dyDescent="0.3">
      <c r="F295" s="118"/>
    </row>
    <row r="296" spans="6:6" ht="12" customHeight="1" x14ac:dyDescent="0.3">
      <c r="F296" s="118"/>
    </row>
    <row r="297" spans="6:6" ht="12" customHeight="1" x14ac:dyDescent="0.3">
      <c r="F297" s="118"/>
    </row>
    <row r="298" spans="6:6" ht="12" customHeight="1" x14ac:dyDescent="0.3">
      <c r="F298" s="118"/>
    </row>
    <row r="299" spans="6:6" ht="12" customHeight="1" x14ac:dyDescent="0.3">
      <c r="F299" s="118"/>
    </row>
    <row r="300" spans="6:6" ht="12" customHeight="1" x14ac:dyDescent="0.3">
      <c r="F300" s="118"/>
    </row>
    <row r="301" spans="6:6" ht="12" customHeight="1" x14ac:dyDescent="0.3">
      <c r="F301" s="118"/>
    </row>
    <row r="302" spans="6:6" ht="12" customHeight="1" x14ac:dyDescent="0.3">
      <c r="F302" s="118"/>
    </row>
    <row r="303" spans="6:6" ht="12" customHeight="1" x14ac:dyDescent="0.3">
      <c r="F303" s="118"/>
    </row>
    <row r="304" spans="6:6" ht="12" customHeight="1" x14ac:dyDescent="0.3">
      <c r="F304" s="118"/>
    </row>
    <row r="305" spans="6:6" ht="12" customHeight="1" x14ac:dyDescent="0.3">
      <c r="F305" s="118"/>
    </row>
    <row r="306" spans="6:6" ht="12" customHeight="1" x14ac:dyDescent="0.3">
      <c r="F306" s="118"/>
    </row>
    <row r="307" spans="6:6" ht="12" customHeight="1" x14ac:dyDescent="0.3">
      <c r="F307" s="118"/>
    </row>
    <row r="308" spans="6:6" ht="12" customHeight="1" x14ac:dyDescent="0.3">
      <c r="F308" s="118"/>
    </row>
    <row r="309" spans="6:6" ht="12" customHeight="1" x14ac:dyDescent="0.3">
      <c r="F309" s="118"/>
    </row>
    <row r="310" spans="6:6" ht="12" customHeight="1" x14ac:dyDescent="0.3">
      <c r="F310" s="118"/>
    </row>
    <row r="311" spans="6:6" ht="12" customHeight="1" x14ac:dyDescent="0.3">
      <c r="F311" s="118"/>
    </row>
    <row r="312" spans="6:6" ht="12" customHeight="1" x14ac:dyDescent="0.3">
      <c r="F312" s="118"/>
    </row>
    <row r="313" spans="6:6" ht="12" customHeight="1" x14ac:dyDescent="0.3">
      <c r="F313" s="118"/>
    </row>
    <row r="314" spans="6:6" ht="12" customHeight="1" x14ac:dyDescent="0.3">
      <c r="F314" s="118"/>
    </row>
    <row r="315" spans="6:6" ht="12" customHeight="1" x14ac:dyDescent="0.3">
      <c r="F315" s="118"/>
    </row>
    <row r="316" spans="6:6" ht="12" customHeight="1" x14ac:dyDescent="0.3">
      <c r="F316" s="118"/>
    </row>
    <row r="317" spans="6:6" ht="12" customHeight="1" x14ac:dyDescent="0.3">
      <c r="F317" s="118"/>
    </row>
    <row r="318" spans="6:6" ht="12" customHeight="1" x14ac:dyDescent="0.3">
      <c r="F318" s="118"/>
    </row>
    <row r="319" spans="6:6" ht="12" customHeight="1" x14ac:dyDescent="0.3">
      <c r="F319" s="118"/>
    </row>
    <row r="320" spans="6:6" ht="12" customHeight="1" x14ac:dyDescent="0.3">
      <c r="F320" s="118"/>
    </row>
    <row r="321" spans="6:6" ht="12" customHeight="1" x14ac:dyDescent="0.3">
      <c r="F321" s="118"/>
    </row>
    <row r="322" spans="6:6" ht="12" customHeight="1" x14ac:dyDescent="0.3">
      <c r="F322" s="118"/>
    </row>
    <row r="323" spans="6:6" ht="12" customHeight="1" x14ac:dyDescent="0.3">
      <c r="F323" s="118"/>
    </row>
    <row r="324" spans="6:6" ht="12" customHeight="1" x14ac:dyDescent="0.3">
      <c r="F324" s="118"/>
    </row>
    <row r="325" spans="6:6" ht="12" customHeight="1" x14ac:dyDescent="0.3">
      <c r="F325" s="118"/>
    </row>
    <row r="326" spans="6:6" ht="12" customHeight="1" x14ac:dyDescent="0.3">
      <c r="F326" s="118"/>
    </row>
    <row r="327" spans="6:6" ht="12" customHeight="1" x14ac:dyDescent="0.3">
      <c r="F327" s="118"/>
    </row>
    <row r="328" spans="6:6" ht="12" customHeight="1" x14ac:dyDescent="0.3">
      <c r="F328" s="118"/>
    </row>
    <row r="329" spans="6:6" ht="12" customHeight="1" x14ac:dyDescent="0.3">
      <c r="F329" s="118"/>
    </row>
    <row r="330" spans="6:6" ht="12" customHeight="1" x14ac:dyDescent="0.3">
      <c r="F330" s="118"/>
    </row>
    <row r="331" spans="6:6" ht="12" customHeight="1" x14ac:dyDescent="0.3">
      <c r="F331" s="118"/>
    </row>
    <row r="332" spans="6:6" ht="12" customHeight="1" x14ac:dyDescent="0.3">
      <c r="F332" s="118"/>
    </row>
    <row r="333" spans="6:6" ht="12" customHeight="1" x14ac:dyDescent="0.3">
      <c r="F333" s="118"/>
    </row>
    <row r="334" spans="6:6" ht="12" customHeight="1" x14ac:dyDescent="0.3">
      <c r="F334" s="118"/>
    </row>
    <row r="335" spans="6:6" ht="12" customHeight="1" x14ac:dyDescent="0.3">
      <c r="F335" s="118"/>
    </row>
    <row r="336" spans="6:6" ht="12" customHeight="1" x14ac:dyDescent="0.3">
      <c r="F336" s="118"/>
    </row>
    <row r="337" spans="6:6" ht="12" customHeight="1" x14ac:dyDescent="0.3">
      <c r="F337" s="118"/>
    </row>
    <row r="338" spans="6:6" ht="12" customHeight="1" x14ac:dyDescent="0.3">
      <c r="F338" s="118"/>
    </row>
    <row r="339" spans="6:6" ht="12" customHeight="1" x14ac:dyDescent="0.3">
      <c r="F339" s="118"/>
    </row>
    <row r="340" spans="6:6" ht="12" customHeight="1" x14ac:dyDescent="0.3">
      <c r="F340" s="118"/>
    </row>
    <row r="341" spans="6:6" ht="12" customHeight="1" x14ac:dyDescent="0.3">
      <c r="F341" s="118"/>
    </row>
    <row r="342" spans="6:6" ht="12" customHeight="1" x14ac:dyDescent="0.3">
      <c r="F342" s="118"/>
    </row>
    <row r="343" spans="6:6" ht="12" customHeight="1" x14ac:dyDescent="0.3">
      <c r="F343" s="118"/>
    </row>
    <row r="344" spans="6:6" ht="12" customHeight="1" x14ac:dyDescent="0.3">
      <c r="F344" s="118"/>
    </row>
    <row r="345" spans="6:6" ht="12" customHeight="1" x14ac:dyDescent="0.3">
      <c r="F345" s="118"/>
    </row>
    <row r="346" spans="6:6" ht="12" customHeight="1" x14ac:dyDescent="0.3">
      <c r="F346" s="118"/>
    </row>
    <row r="347" spans="6:6" ht="12" customHeight="1" x14ac:dyDescent="0.3">
      <c r="F347" s="118"/>
    </row>
    <row r="348" spans="6:6" ht="12" customHeight="1" x14ac:dyDescent="0.3">
      <c r="F348" s="118"/>
    </row>
    <row r="349" spans="6:6" ht="12" customHeight="1" x14ac:dyDescent="0.3">
      <c r="F349" s="118"/>
    </row>
    <row r="350" spans="6:6" ht="12" customHeight="1" x14ac:dyDescent="0.3">
      <c r="F350" s="118"/>
    </row>
    <row r="351" spans="6:6" ht="12" customHeight="1" x14ac:dyDescent="0.3">
      <c r="F351" s="118"/>
    </row>
    <row r="352" spans="6:6" ht="12" customHeight="1" x14ac:dyDescent="0.3">
      <c r="F352" s="118"/>
    </row>
    <row r="353" spans="6:6" ht="12" customHeight="1" x14ac:dyDescent="0.3">
      <c r="F353" s="118"/>
    </row>
    <row r="354" spans="6:6" ht="12" customHeight="1" x14ac:dyDescent="0.3">
      <c r="F354" s="118"/>
    </row>
    <row r="355" spans="6:6" ht="12" customHeight="1" x14ac:dyDescent="0.3">
      <c r="F355" s="118"/>
    </row>
    <row r="356" spans="6:6" ht="12" customHeight="1" x14ac:dyDescent="0.3">
      <c r="F356" s="118"/>
    </row>
    <row r="357" spans="6:6" ht="12" customHeight="1" x14ac:dyDescent="0.3">
      <c r="F357" s="118"/>
    </row>
    <row r="358" spans="6:6" ht="12" customHeight="1" x14ac:dyDescent="0.3">
      <c r="F358" s="118"/>
    </row>
    <row r="359" spans="6:6" ht="12" customHeight="1" x14ac:dyDescent="0.3">
      <c r="F359" s="118"/>
    </row>
    <row r="360" spans="6:6" ht="12" customHeight="1" x14ac:dyDescent="0.3">
      <c r="F360" s="118"/>
    </row>
    <row r="361" spans="6:6" ht="12" customHeight="1" x14ac:dyDescent="0.3">
      <c r="F361" s="118"/>
    </row>
    <row r="362" spans="6:6" ht="12" customHeight="1" x14ac:dyDescent="0.3">
      <c r="F362" s="118"/>
    </row>
    <row r="363" spans="6:6" ht="12" customHeight="1" x14ac:dyDescent="0.3">
      <c r="F363" s="118"/>
    </row>
    <row r="364" spans="6:6" ht="12" customHeight="1" x14ac:dyDescent="0.3">
      <c r="F364" s="118"/>
    </row>
    <row r="365" spans="6:6" ht="12" customHeight="1" x14ac:dyDescent="0.3">
      <c r="F365" s="118"/>
    </row>
    <row r="366" spans="6:6" ht="12" customHeight="1" x14ac:dyDescent="0.3">
      <c r="F366" s="118"/>
    </row>
    <row r="367" spans="6:6" ht="12" customHeight="1" x14ac:dyDescent="0.3">
      <c r="F367" s="118"/>
    </row>
    <row r="368" spans="6:6" ht="12" customHeight="1" x14ac:dyDescent="0.3">
      <c r="F368" s="118"/>
    </row>
    <row r="369" spans="6:6" ht="12" customHeight="1" x14ac:dyDescent="0.3">
      <c r="F369" s="118"/>
    </row>
    <row r="370" spans="6:6" ht="12" customHeight="1" x14ac:dyDescent="0.3">
      <c r="F370" s="118"/>
    </row>
    <row r="371" spans="6:6" ht="12" customHeight="1" x14ac:dyDescent="0.3">
      <c r="F371" s="118"/>
    </row>
    <row r="372" spans="6:6" ht="12" customHeight="1" x14ac:dyDescent="0.3">
      <c r="F372" s="118"/>
    </row>
    <row r="373" spans="6:6" ht="12" customHeight="1" x14ac:dyDescent="0.3">
      <c r="F373" s="118"/>
    </row>
    <row r="374" spans="6:6" ht="12" customHeight="1" x14ac:dyDescent="0.3">
      <c r="F374" s="118"/>
    </row>
    <row r="375" spans="6:6" ht="12" customHeight="1" x14ac:dyDescent="0.3">
      <c r="F375" s="118"/>
    </row>
    <row r="376" spans="6:6" ht="12" customHeight="1" x14ac:dyDescent="0.3">
      <c r="F376" s="118"/>
    </row>
    <row r="377" spans="6:6" ht="12" customHeight="1" x14ac:dyDescent="0.3">
      <c r="F377" s="118"/>
    </row>
    <row r="378" spans="6:6" ht="12" customHeight="1" x14ac:dyDescent="0.3">
      <c r="F378" s="118"/>
    </row>
    <row r="379" spans="6:6" ht="12" customHeight="1" x14ac:dyDescent="0.3">
      <c r="F379" s="118"/>
    </row>
    <row r="380" spans="6:6" ht="12" customHeight="1" x14ac:dyDescent="0.3">
      <c r="F380" s="118"/>
    </row>
    <row r="381" spans="6:6" ht="12" customHeight="1" x14ac:dyDescent="0.3">
      <c r="F381" s="118"/>
    </row>
    <row r="382" spans="6:6" ht="12" customHeight="1" x14ac:dyDescent="0.3">
      <c r="F382" s="118"/>
    </row>
    <row r="383" spans="6:6" ht="12" customHeight="1" x14ac:dyDescent="0.3">
      <c r="F383" s="118"/>
    </row>
    <row r="384" spans="6:6" ht="12" customHeight="1" x14ac:dyDescent="0.3">
      <c r="F384" s="118"/>
    </row>
    <row r="385" spans="6:6" ht="12" customHeight="1" x14ac:dyDescent="0.3">
      <c r="F385" s="118"/>
    </row>
    <row r="386" spans="6:6" ht="12" customHeight="1" x14ac:dyDescent="0.3">
      <c r="F386" s="118"/>
    </row>
    <row r="387" spans="6:6" ht="12" customHeight="1" x14ac:dyDescent="0.3">
      <c r="F387" s="118"/>
    </row>
    <row r="388" spans="6:6" ht="12" customHeight="1" x14ac:dyDescent="0.3">
      <c r="F388" s="118"/>
    </row>
    <row r="389" spans="6:6" ht="12" customHeight="1" x14ac:dyDescent="0.3">
      <c r="F389" s="118"/>
    </row>
    <row r="390" spans="6:6" ht="12" customHeight="1" x14ac:dyDescent="0.3">
      <c r="F390" s="118"/>
    </row>
    <row r="391" spans="6:6" ht="12" customHeight="1" x14ac:dyDescent="0.3">
      <c r="F391" s="118"/>
    </row>
    <row r="392" spans="6:6" ht="12" customHeight="1" x14ac:dyDescent="0.3">
      <c r="F392" s="118"/>
    </row>
    <row r="393" spans="6:6" ht="12" customHeight="1" x14ac:dyDescent="0.3">
      <c r="F393" s="118"/>
    </row>
    <row r="394" spans="6:6" ht="12" customHeight="1" x14ac:dyDescent="0.3">
      <c r="F394" s="118"/>
    </row>
    <row r="395" spans="6:6" ht="12" customHeight="1" x14ac:dyDescent="0.3">
      <c r="F395" s="118"/>
    </row>
    <row r="396" spans="6:6" ht="12" customHeight="1" x14ac:dyDescent="0.3">
      <c r="F396" s="118"/>
    </row>
    <row r="397" spans="6:6" ht="12" customHeight="1" x14ac:dyDescent="0.3">
      <c r="F397" s="118"/>
    </row>
    <row r="398" spans="6:6" ht="12" customHeight="1" x14ac:dyDescent="0.3">
      <c r="F398" s="118"/>
    </row>
    <row r="399" spans="6:6" ht="12" customHeight="1" x14ac:dyDescent="0.3">
      <c r="F399" s="118"/>
    </row>
    <row r="400" spans="6:6" ht="12" customHeight="1" x14ac:dyDescent="0.3">
      <c r="F400" s="118"/>
    </row>
    <row r="401" spans="6:6" ht="12" customHeight="1" x14ac:dyDescent="0.3">
      <c r="F401" s="118"/>
    </row>
    <row r="402" spans="6:6" ht="12" customHeight="1" x14ac:dyDescent="0.3">
      <c r="F402" s="118"/>
    </row>
    <row r="403" spans="6:6" ht="12" customHeight="1" x14ac:dyDescent="0.3">
      <c r="F403" s="118"/>
    </row>
    <row r="404" spans="6:6" ht="12" customHeight="1" x14ac:dyDescent="0.3">
      <c r="F404" s="118"/>
    </row>
    <row r="405" spans="6:6" ht="12" customHeight="1" x14ac:dyDescent="0.3">
      <c r="F405" s="118"/>
    </row>
    <row r="406" spans="6:6" ht="12" customHeight="1" x14ac:dyDescent="0.3">
      <c r="F406" s="118"/>
    </row>
    <row r="407" spans="6:6" ht="12" customHeight="1" x14ac:dyDescent="0.3">
      <c r="F407" s="118"/>
    </row>
    <row r="408" spans="6:6" ht="12" customHeight="1" x14ac:dyDescent="0.3">
      <c r="F408" s="118"/>
    </row>
    <row r="409" spans="6:6" ht="12" customHeight="1" x14ac:dyDescent="0.3">
      <c r="F409" s="118"/>
    </row>
    <row r="410" spans="6:6" ht="12" customHeight="1" x14ac:dyDescent="0.3">
      <c r="F410" s="118"/>
    </row>
    <row r="411" spans="6:6" ht="12" customHeight="1" x14ac:dyDescent="0.3">
      <c r="F411" s="118"/>
    </row>
    <row r="412" spans="6:6" ht="12" customHeight="1" x14ac:dyDescent="0.3">
      <c r="F412" s="118"/>
    </row>
    <row r="413" spans="6:6" ht="12" customHeight="1" x14ac:dyDescent="0.3">
      <c r="F413" s="118"/>
    </row>
    <row r="414" spans="6:6" ht="12" customHeight="1" x14ac:dyDescent="0.3">
      <c r="F414" s="118"/>
    </row>
    <row r="415" spans="6:6" ht="12" customHeight="1" x14ac:dyDescent="0.3">
      <c r="F415" s="118"/>
    </row>
    <row r="416" spans="6:6" ht="12" customHeight="1" x14ac:dyDescent="0.3">
      <c r="F416" s="118"/>
    </row>
    <row r="417" spans="6:6" ht="12" customHeight="1" x14ac:dyDescent="0.3">
      <c r="F417" s="118"/>
    </row>
    <row r="418" spans="6:6" ht="12" customHeight="1" x14ac:dyDescent="0.3">
      <c r="F418" s="118"/>
    </row>
    <row r="419" spans="6:6" ht="12" customHeight="1" x14ac:dyDescent="0.3">
      <c r="F419" s="118"/>
    </row>
    <row r="420" spans="6:6" ht="12" customHeight="1" x14ac:dyDescent="0.3">
      <c r="F420" s="118"/>
    </row>
    <row r="421" spans="6:6" ht="12" customHeight="1" x14ac:dyDescent="0.3">
      <c r="F421" s="118"/>
    </row>
    <row r="422" spans="6:6" ht="12" customHeight="1" x14ac:dyDescent="0.3">
      <c r="F422" s="118"/>
    </row>
    <row r="423" spans="6:6" ht="12" customHeight="1" x14ac:dyDescent="0.3">
      <c r="F423" s="118"/>
    </row>
    <row r="424" spans="6:6" ht="12" customHeight="1" x14ac:dyDescent="0.3">
      <c r="F424" s="118"/>
    </row>
    <row r="425" spans="6:6" ht="12" customHeight="1" x14ac:dyDescent="0.3">
      <c r="F425" s="118"/>
    </row>
    <row r="426" spans="6:6" ht="12" customHeight="1" x14ac:dyDescent="0.3">
      <c r="F426" s="118"/>
    </row>
    <row r="427" spans="6:6" ht="12" customHeight="1" x14ac:dyDescent="0.3">
      <c r="F427" s="118"/>
    </row>
    <row r="428" spans="6:6" ht="12" customHeight="1" x14ac:dyDescent="0.3">
      <c r="F428" s="118"/>
    </row>
    <row r="429" spans="6:6" ht="12" customHeight="1" x14ac:dyDescent="0.3">
      <c r="F429" s="118"/>
    </row>
    <row r="430" spans="6:6" ht="12" customHeight="1" x14ac:dyDescent="0.3">
      <c r="F430" s="118"/>
    </row>
    <row r="431" spans="6:6" ht="12" customHeight="1" x14ac:dyDescent="0.3">
      <c r="F431" s="118"/>
    </row>
    <row r="432" spans="6:6" ht="12" customHeight="1" x14ac:dyDescent="0.3">
      <c r="F432" s="118"/>
    </row>
    <row r="433" spans="6:6" ht="12" customHeight="1" x14ac:dyDescent="0.3">
      <c r="F433" s="118"/>
    </row>
    <row r="434" spans="6:6" ht="12" customHeight="1" x14ac:dyDescent="0.3">
      <c r="F434" s="118"/>
    </row>
    <row r="435" spans="6:6" ht="12" customHeight="1" x14ac:dyDescent="0.3">
      <c r="F435" s="118"/>
    </row>
    <row r="436" spans="6:6" ht="12" customHeight="1" x14ac:dyDescent="0.3">
      <c r="F436" s="118"/>
    </row>
    <row r="437" spans="6:6" ht="12" customHeight="1" x14ac:dyDescent="0.3">
      <c r="F437" s="118"/>
    </row>
    <row r="438" spans="6:6" ht="12" customHeight="1" x14ac:dyDescent="0.3">
      <c r="F438" s="118"/>
    </row>
    <row r="439" spans="6:6" ht="12" customHeight="1" x14ac:dyDescent="0.3">
      <c r="F439" s="118"/>
    </row>
    <row r="440" spans="6:6" ht="12" customHeight="1" x14ac:dyDescent="0.3">
      <c r="F440" s="118"/>
    </row>
    <row r="441" spans="6:6" ht="12" customHeight="1" x14ac:dyDescent="0.3">
      <c r="F441" s="118"/>
    </row>
    <row r="442" spans="6:6" ht="12" customHeight="1" x14ac:dyDescent="0.3">
      <c r="F442" s="118"/>
    </row>
    <row r="443" spans="6:6" ht="12" customHeight="1" x14ac:dyDescent="0.3">
      <c r="F443" s="118"/>
    </row>
    <row r="444" spans="6:6" ht="12" customHeight="1" x14ac:dyDescent="0.3">
      <c r="F444" s="118"/>
    </row>
    <row r="445" spans="6:6" ht="12" customHeight="1" x14ac:dyDescent="0.3">
      <c r="F445" s="118"/>
    </row>
    <row r="446" spans="6:6" ht="12" customHeight="1" x14ac:dyDescent="0.3">
      <c r="F446" s="118"/>
    </row>
    <row r="447" spans="6:6" ht="12" customHeight="1" x14ac:dyDescent="0.3">
      <c r="F447" s="118"/>
    </row>
    <row r="448" spans="6:6" ht="12" customHeight="1" x14ac:dyDescent="0.3">
      <c r="F448" s="118"/>
    </row>
    <row r="449" spans="6:6" ht="12" customHeight="1" x14ac:dyDescent="0.3">
      <c r="F449" s="118"/>
    </row>
    <row r="450" spans="6:6" ht="12" customHeight="1" x14ac:dyDescent="0.3">
      <c r="F450" s="118"/>
    </row>
    <row r="451" spans="6:6" ht="12" customHeight="1" x14ac:dyDescent="0.3">
      <c r="F451" s="118"/>
    </row>
    <row r="452" spans="6:6" ht="12" customHeight="1" x14ac:dyDescent="0.3">
      <c r="F452" s="118"/>
    </row>
    <row r="453" spans="6:6" ht="12" customHeight="1" x14ac:dyDescent="0.3">
      <c r="F453" s="118"/>
    </row>
    <row r="454" spans="6:6" ht="12" customHeight="1" x14ac:dyDescent="0.3">
      <c r="F454" s="118"/>
    </row>
    <row r="455" spans="6:6" ht="12" customHeight="1" x14ac:dyDescent="0.3">
      <c r="F455" s="118"/>
    </row>
    <row r="456" spans="6:6" ht="12" customHeight="1" x14ac:dyDescent="0.3">
      <c r="F456" s="118"/>
    </row>
    <row r="457" spans="6:6" ht="12" customHeight="1" x14ac:dyDescent="0.3">
      <c r="F457" s="118"/>
    </row>
    <row r="458" spans="6:6" ht="12" customHeight="1" x14ac:dyDescent="0.3">
      <c r="F458" s="118"/>
    </row>
    <row r="459" spans="6:6" ht="12" customHeight="1" x14ac:dyDescent="0.3">
      <c r="F459" s="118"/>
    </row>
    <row r="460" spans="6:6" ht="12" customHeight="1" x14ac:dyDescent="0.3">
      <c r="F460" s="118"/>
    </row>
    <row r="461" spans="6:6" ht="12" customHeight="1" x14ac:dyDescent="0.3">
      <c r="F461" s="118"/>
    </row>
    <row r="462" spans="6:6" ht="12" customHeight="1" x14ac:dyDescent="0.3">
      <c r="F462" s="118"/>
    </row>
    <row r="463" spans="6:6" ht="12" customHeight="1" x14ac:dyDescent="0.3">
      <c r="F463" s="118"/>
    </row>
    <row r="464" spans="6:6" ht="12" customHeight="1" x14ac:dyDescent="0.3">
      <c r="F464" s="118"/>
    </row>
    <row r="465" spans="6:6" ht="12" customHeight="1" x14ac:dyDescent="0.3">
      <c r="F465" s="118"/>
    </row>
    <row r="466" spans="6:6" ht="12" customHeight="1" x14ac:dyDescent="0.3">
      <c r="F466" s="118"/>
    </row>
    <row r="467" spans="6:6" ht="12" customHeight="1" x14ac:dyDescent="0.3">
      <c r="F467" s="118"/>
    </row>
    <row r="468" spans="6:6" ht="12" customHeight="1" x14ac:dyDescent="0.3">
      <c r="F468" s="118"/>
    </row>
    <row r="469" spans="6:6" ht="12" customHeight="1" x14ac:dyDescent="0.3">
      <c r="F469" s="118"/>
    </row>
    <row r="470" spans="6:6" ht="12" customHeight="1" x14ac:dyDescent="0.3">
      <c r="F470" s="118"/>
    </row>
    <row r="471" spans="6:6" ht="12" customHeight="1" x14ac:dyDescent="0.3">
      <c r="F471" s="118"/>
    </row>
    <row r="472" spans="6:6" ht="12" customHeight="1" x14ac:dyDescent="0.3">
      <c r="F472" s="118"/>
    </row>
    <row r="473" spans="6:6" ht="12" customHeight="1" x14ac:dyDescent="0.3">
      <c r="F473" s="118"/>
    </row>
    <row r="474" spans="6:6" ht="12" customHeight="1" x14ac:dyDescent="0.3">
      <c r="F474" s="118"/>
    </row>
    <row r="475" spans="6:6" ht="12" customHeight="1" x14ac:dyDescent="0.3">
      <c r="F475" s="118"/>
    </row>
    <row r="476" spans="6:6" ht="12" customHeight="1" x14ac:dyDescent="0.3">
      <c r="F476" s="118"/>
    </row>
    <row r="477" spans="6:6" ht="12" customHeight="1" x14ac:dyDescent="0.3">
      <c r="F477" s="118"/>
    </row>
    <row r="478" spans="6:6" ht="12" customHeight="1" x14ac:dyDescent="0.3">
      <c r="F478" s="118"/>
    </row>
    <row r="479" spans="6:6" ht="12" customHeight="1" x14ac:dyDescent="0.3">
      <c r="F479" s="118"/>
    </row>
    <row r="480" spans="6:6" ht="12" customHeight="1" x14ac:dyDescent="0.3">
      <c r="F480" s="118"/>
    </row>
    <row r="481" spans="6:6" ht="12" customHeight="1" x14ac:dyDescent="0.3">
      <c r="F481" s="118"/>
    </row>
    <row r="482" spans="6:6" ht="12" customHeight="1" x14ac:dyDescent="0.3">
      <c r="F482" s="118"/>
    </row>
    <row r="483" spans="6:6" ht="12" customHeight="1" x14ac:dyDescent="0.3">
      <c r="F483" s="118"/>
    </row>
    <row r="484" spans="6:6" ht="12" customHeight="1" x14ac:dyDescent="0.3">
      <c r="F484" s="118"/>
    </row>
    <row r="485" spans="6:6" ht="12" customHeight="1" x14ac:dyDescent="0.3">
      <c r="F485" s="118"/>
    </row>
    <row r="486" spans="6:6" ht="12" customHeight="1" x14ac:dyDescent="0.3">
      <c r="F486" s="118"/>
    </row>
    <row r="487" spans="6:6" ht="12" customHeight="1" x14ac:dyDescent="0.3">
      <c r="F487" s="118"/>
    </row>
    <row r="488" spans="6:6" ht="12" customHeight="1" x14ac:dyDescent="0.3">
      <c r="F488" s="118"/>
    </row>
    <row r="489" spans="6:6" ht="12" customHeight="1" x14ac:dyDescent="0.3">
      <c r="F489" s="118"/>
    </row>
    <row r="490" spans="6:6" ht="12" customHeight="1" x14ac:dyDescent="0.3">
      <c r="F490" s="118"/>
    </row>
    <row r="491" spans="6:6" ht="12" customHeight="1" x14ac:dyDescent="0.3">
      <c r="F491" s="118"/>
    </row>
    <row r="492" spans="6:6" ht="12" customHeight="1" x14ac:dyDescent="0.3">
      <c r="F492" s="118"/>
    </row>
    <row r="493" spans="6:6" ht="12" customHeight="1" x14ac:dyDescent="0.3">
      <c r="F493" s="118"/>
    </row>
    <row r="494" spans="6:6" ht="12" customHeight="1" x14ac:dyDescent="0.3">
      <c r="F494" s="118"/>
    </row>
    <row r="495" spans="6:6" ht="12" customHeight="1" x14ac:dyDescent="0.3">
      <c r="F495" s="118"/>
    </row>
    <row r="496" spans="6:6" ht="12" customHeight="1" x14ac:dyDescent="0.3">
      <c r="F496" s="118"/>
    </row>
    <row r="497" spans="6:6" ht="12" customHeight="1" x14ac:dyDescent="0.3">
      <c r="F497" s="118"/>
    </row>
    <row r="498" spans="6:6" ht="12" customHeight="1" x14ac:dyDescent="0.3">
      <c r="F498" s="118"/>
    </row>
    <row r="499" spans="6:6" ht="12" customHeight="1" x14ac:dyDescent="0.3">
      <c r="F499" s="118"/>
    </row>
    <row r="500" spans="6:6" ht="12" customHeight="1" x14ac:dyDescent="0.3">
      <c r="F500" s="118"/>
    </row>
    <row r="501" spans="6:6" ht="12" customHeight="1" x14ac:dyDescent="0.3">
      <c r="F501" s="118"/>
    </row>
    <row r="502" spans="6:6" ht="12" customHeight="1" x14ac:dyDescent="0.3">
      <c r="F502" s="118"/>
    </row>
    <row r="503" spans="6:6" ht="12" customHeight="1" x14ac:dyDescent="0.3">
      <c r="F503" s="118"/>
    </row>
    <row r="504" spans="6:6" ht="12" customHeight="1" x14ac:dyDescent="0.3">
      <c r="F504" s="118"/>
    </row>
    <row r="505" spans="6:6" ht="12" customHeight="1" x14ac:dyDescent="0.3">
      <c r="F505" s="118"/>
    </row>
    <row r="506" spans="6:6" ht="12" customHeight="1" x14ac:dyDescent="0.3">
      <c r="F506" s="118"/>
    </row>
    <row r="507" spans="6:6" ht="12" customHeight="1" x14ac:dyDescent="0.3">
      <c r="F507" s="118"/>
    </row>
    <row r="508" spans="6:6" ht="12" customHeight="1" x14ac:dyDescent="0.3">
      <c r="F508" s="118"/>
    </row>
    <row r="509" spans="6:6" ht="12" customHeight="1" x14ac:dyDescent="0.3">
      <c r="F509" s="118"/>
    </row>
    <row r="510" spans="6:6" ht="12" customHeight="1" x14ac:dyDescent="0.3">
      <c r="F510" s="118"/>
    </row>
    <row r="511" spans="6:6" ht="12" customHeight="1" x14ac:dyDescent="0.3">
      <c r="F511" s="118"/>
    </row>
    <row r="512" spans="6:6" ht="12" customHeight="1" x14ac:dyDescent="0.3">
      <c r="F512" s="118"/>
    </row>
    <row r="513" spans="6:6" ht="12" customHeight="1" x14ac:dyDescent="0.3">
      <c r="F513" s="118"/>
    </row>
    <row r="514" spans="6:6" ht="12" customHeight="1" x14ac:dyDescent="0.3">
      <c r="F514" s="118"/>
    </row>
    <row r="515" spans="6:6" ht="12" customHeight="1" x14ac:dyDescent="0.3">
      <c r="F515" s="118"/>
    </row>
    <row r="516" spans="6:6" ht="12" customHeight="1" x14ac:dyDescent="0.3">
      <c r="F516" s="118"/>
    </row>
    <row r="517" spans="6:6" ht="12" customHeight="1" x14ac:dyDescent="0.3">
      <c r="F517" s="118"/>
    </row>
    <row r="518" spans="6:6" ht="12" customHeight="1" x14ac:dyDescent="0.3">
      <c r="F518" s="118"/>
    </row>
    <row r="519" spans="6:6" ht="12" customHeight="1" x14ac:dyDescent="0.3">
      <c r="F519" s="118"/>
    </row>
    <row r="520" spans="6:6" ht="12" customHeight="1" x14ac:dyDescent="0.3">
      <c r="F520" s="118"/>
    </row>
    <row r="521" spans="6:6" ht="12" customHeight="1" x14ac:dyDescent="0.3">
      <c r="F521" s="118"/>
    </row>
    <row r="522" spans="6:6" ht="12" customHeight="1" x14ac:dyDescent="0.3">
      <c r="F522" s="118"/>
    </row>
    <row r="523" spans="6:6" ht="12" customHeight="1" x14ac:dyDescent="0.3">
      <c r="F523" s="118"/>
    </row>
    <row r="524" spans="6:6" ht="12" customHeight="1" x14ac:dyDescent="0.3">
      <c r="F524" s="118"/>
    </row>
    <row r="525" spans="6:6" ht="12" customHeight="1" x14ac:dyDescent="0.3">
      <c r="F525" s="118"/>
    </row>
    <row r="526" spans="6:6" ht="12" customHeight="1" x14ac:dyDescent="0.3">
      <c r="F526" s="118"/>
    </row>
    <row r="527" spans="6:6" ht="12" customHeight="1" x14ac:dyDescent="0.3">
      <c r="F527" s="118"/>
    </row>
    <row r="528" spans="6:6" ht="12" customHeight="1" x14ac:dyDescent="0.3">
      <c r="F528" s="118"/>
    </row>
    <row r="529" spans="6:6" ht="12" customHeight="1" x14ac:dyDescent="0.3">
      <c r="F529" s="118"/>
    </row>
    <row r="530" spans="6:6" ht="12" customHeight="1" x14ac:dyDescent="0.3">
      <c r="F530" s="118"/>
    </row>
    <row r="531" spans="6:6" ht="12" customHeight="1" x14ac:dyDescent="0.3">
      <c r="F531" s="118"/>
    </row>
    <row r="532" spans="6:6" ht="12" customHeight="1" x14ac:dyDescent="0.3">
      <c r="F532" s="118"/>
    </row>
    <row r="533" spans="6:6" ht="12" customHeight="1" x14ac:dyDescent="0.3">
      <c r="F533" s="118"/>
    </row>
    <row r="534" spans="6:6" ht="12" customHeight="1" x14ac:dyDescent="0.3">
      <c r="F534" s="118"/>
    </row>
    <row r="535" spans="6:6" ht="12" customHeight="1" x14ac:dyDescent="0.3">
      <c r="F535" s="118"/>
    </row>
    <row r="536" spans="6:6" ht="12" customHeight="1" x14ac:dyDescent="0.3">
      <c r="F536" s="118"/>
    </row>
    <row r="537" spans="6:6" ht="12" customHeight="1" x14ac:dyDescent="0.3">
      <c r="F537" s="118"/>
    </row>
    <row r="538" spans="6:6" ht="12" customHeight="1" x14ac:dyDescent="0.3">
      <c r="F538" s="118"/>
    </row>
    <row r="539" spans="6:6" ht="12" customHeight="1" x14ac:dyDescent="0.3">
      <c r="F539" s="118"/>
    </row>
    <row r="540" spans="6:6" ht="12" customHeight="1" x14ac:dyDescent="0.3">
      <c r="F540" s="118"/>
    </row>
    <row r="541" spans="6:6" ht="12" customHeight="1" x14ac:dyDescent="0.3">
      <c r="F541" s="118"/>
    </row>
    <row r="542" spans="6:6" ht="12" customHeight="1" x14ac:dyDescent="0.3">
      <c r="F542" s="118"/>
    </row>
    <row r="543" spans="6:6" ht="12" customHeight="1" x14ac:dyDescent="0.3">
      <c r="F543" s="118"/>
    </row>
    <row r="544" spans="6:6" ht="12" customHeight="1" x14ac:dyDescent="0.3">
      <c r="F544" s="118"/>
    </row>
    <row r="545" spans="6:6" ht="12" customHeight="1" x14ac:dyDescent="0.3">
      <c r="F545" s="118"/>
    </row>
    <row r="546" spans="6:6" ht="12" customHeight="1" x14ac:dyDescent="0.3">
      <c r="F546" s="118"/>
    </row>
    <row r="547" spans="6:6" ht="12" customHeight="1" x14ac:dyDescent="0.3">
      <c r="F547" s="118"/>
    </row>
    <row r="548" spans="6:6" ht="12" customHeight="1" x14ac:dyDescent="0.3">
      <c r="F548" s="118"/>
    </row>
    <row r="549" spans="6:6" ht="12" customHeight="1" x14ac:dyDescent="0.3">
      <c r="F549" s="118"/>
    </row>
    <row r="550" spans="6:6" ht="12" customHeight="1" x14ac:dyDescent="0.3">
      <c r="F550" s="118"/>
    </row>
    <row r="551" spans="6:6" ht="12" customHeight="1" x14ac:dyDescent="0.3">
      <c r="F551" s="118"/>
    </row>
    <row r="552" spans="6:6" ht="12" customHeight="1" x14ac:dyDescent="0.3">
      <c r="F552" s="118"/>
    </row>
    <row r="553" spans="6:6" ht="12" customHeight="1" x14ac:dyDescent="0.3">
      <c r="F553" s="118"/>
    </row>
    <row r="554" spans="6:6" ht="12" customHeight="1" x14ac:dyDescent="0.3">
      <c r="F554" s="118"/>
    </row>
    <row r="555" spans="6:6" ht="12" customHeight="1" x14ac:dyDescent="0.3">
      <c r="F555" s="118"/>
    </row>
    <row r="556" spans="6:6" ht="12" customHeight="1" x14ac:dyDescent="0.3">
      <c r="F556" s="118"/>
    </row>
    <row r="557" spans="6:6" ht="12" customHeight="1" x14ac:dyDescent="0.3">
      <c r="F557" s="118"/>
    </row>
    <row r="558" spans="6:6" ht="12" customHeight="1" x14ac:dyDescent="0.3">
      <c r="F558" s="118"/>
    </row>
    <row r="559" spans="6:6" ht="12" customHeight="1" x14ac:dyDescent="0.3">
      <c r="F559" s="118"/>
    </row>
    <row r="560" spans="6:6" ht="12" customHeight="1" x14ac:dyDescent="0.3">
      <c r="F560" s="118"/>
    </row>
    <row r="561" spans="6:6" ht="12" customHeight="1" x14ac:dyDescent="0.3">
      <c r="F561" s="118"/>
    </row>
    <row r="562" spans="6:6" ht="12" customHeight="1" x14ac:dyDescent="0.3">
      <c r="F562" s="118"/>
    </row>
    <row r="563" spans="6:6" ht="12" customHeight="1" x14ac:dyDescent="0.3">
      <c r="F563" s="118"/>
    </row>
    <row r="564" spans="6:6" ht="12" customHeight="1" x14ac:dyDescent="0.3">
      <c r="F564" s="118"/>
    </row>
    <row r="565" spans="6:6" ht="12" customHeight="1" x14ac:dyDescent="0.3">
      <c r="F565" s="118"/>
    </row>
    <row r="566" spans="6:6" ht="12" customHeight="1" x14ac:dyDescent="0.3">
      <c r="F566" s="118"/>
    </row>
    <row r="567" spans="6:6" ht="12" customHeight="1" x14ac:dyDescent="0.3">
      <c r="F567" s="118"/>
    </row>
    <row r="568" spans="6:6" ht="12" customHeight="1" x14ac:dyDescent="0.3">
      <c r="F568" s="118"/>
    </row>
    <row r="569" spans="6:6" ht="12" customHeight="1" x14ac:dyDescent="0.3">
      <c r="F569" s="118"/>
    </row>
    <row r="570" spans="6:6" ht="12" customHeight="1" x14ac:dyDescent="0.3">
      <c r="F570" s="118"/>
    </row>
    <row r="571" spans="6:6" ht="12" customHeight="1" x14ac:dyDescent="0.3">
      <c r="F571" s="118"/>
    </row>
    <row r="572" spans="6:6" ht="12" customHeight="1" x14ac:dyDescent="0.3">
      <c r="F572" s="118"/>
    </row>
    <row r="573" spans="6:6" ht="12" customHeight="1" x14ac:dyDescent="0.3">
      <c r="F573" s="118"/>
    </row>
    <row r="574" spans="6:6" ht="12" customHeight="1" x14ac:dyDescent="0.3">
      <c r="F574" s="118"/>
    </row>
    <row r="575" spans="6:6" ht="12" customHeight="1" x14ac:dyDescent="0.3">
      <c r="F575" s="118"/>
    </row>
    <row r="576" spans="6:6" ht="12" customHeight="1" x14ac:dyDescent="0.3">
      <c r="F576" s="118"/>
    </row>
    <row r="577" spans="6:6" ht="12" customHeight="1" x14ac:dyDescent="0.3">
      <c r="F577" s="118"/>
    </row>
    <row r="578" spans="6:6" ht="12" customHeight="1" x14ac:dyDescent="0.3">
      <c r="F578" s="118"/>
    </row>
    <row r="579" spans="6:6" ht="12" customHeight="1" x14ac:dyDescent="0.3">
      <c r="F579" s="118"/>
    </row>
    <row r="580" spans="6:6" ht="12" customHeight="1" x14ac:dyDescent="0.3">
      <c r="F580" s="118"/>
    </row>
    <row r="581" spans="6:6" ht="12" customHeight="1" x14ac:dyDescent="0.3">
      <c r="F581" s="118"/>
    </row>
    <row r="582" spans="6:6" ht="12" customHeight="1" x14ac:dyDescent="0.3">
      <c r="F582" s="118"/>
    </row>
    <row r="583" spans="6:6" ht="12" customHeight="1" x14ac:dyDescent="0.3">
      <c r="F583" s="118"/>
    </row>
    <row r="584" spans="6:6" ht="12" customHeight="1" x14ac:dyDescent="0.3">
      <c r="F584" s="118"/>
    </row>
    <row r="585" spans="6:6" ht="12" customHeight="1" x14ac:dyDescent="0.3">
      <c r="F585" s="118"/>
    </row>
    <row r="586" spans="6:6" ht="12" customHeight="1" x14ac:dyDescent="0.3">
      <c r="F586" s="118"/>
    </row>
    <row r="587" spans="6:6" ht="12" customHeight="1" x14ac:dyDescent="0.3">
      <c r="F587" s="118"/>
    </row>
    <row r="588" spans="6:6" ht="12" customHeight="1" x14ac:dyDescent="0.3">
      <c r="F588" s="118"/>
    </row>
    <row r="589" spans="6:6" ht="12" customHeight="1" x14ac:dyDescent="0.3">
      <c r="F589" s="118"/>
    </row>
    <row r="590" spans="6:6" ht="12" customHeight="1" x14ac:dyDescent="0.3">
      <c r="F590" s="118"/>
    </row>
    <row r="591" spans="6:6" ht="12" customHeight="1" x14ac:dyDescent="0.3">
      <c r="F591" s="118"/>
    </row>
    <row r="592" spans="6:6" ht="12" customHeight="1" x14ac:dyDescent="0.3">
      <c r="F592" s="118"/>
    </row>
    <row r="593" spans="6:6" ht="12" customHeight="1" x14ac:dyDescent="0.3">
      <c r="F593" s="118"/>
    </row>
    <row r="594" spans="6:6" ht="12" customHeight="1" x14ac:dyDescent="0.3">
      <c r="F594" s="118"/>
    </row>
    <row r="595" spans="6:6" ht="12" customHeight="1" x14ac:dyDescent="0.3">
      <c r="F595" s="118"/>
    </row>
    <row r="596" spans="6:6" ht="12" customHeight="1" x14ac:dyDescent="0.3">
      <c r="F596" s="118"/>
    </row>
    <row r="597" spans="6:6" ht="12" customHeight="1" x14ac:dyDescent="0.3">
      <c r="F597" s="118"/>
    </row>
    <row r="598" spans="6:6" ht="12" customHeight="1" x14ac:dyDescent="0.3">
      <c r="F598" s="118"/>
    </row>
    <row r="599" spans="6:6" ht="12" customHeight="1" x14ac:dyDescent="0.3">
      <c r="F599" s="118"/>
    </row>
    <row r="600" spans="6:6" ht="12" customHeight="1" x14ac:dyDescent="0.3">
      <c r="F600" s="118"/>
    </row>
    <row r="601" spans="6:6" ht="12" customHeight="1" x14ac:dyDescent="0.3">
      <c r="F601" s="118"/>
    </row>
    <row r="602" spans="6:6" ht="12" customHeight="1" x14ac:dyDescent="0.3">
      <c r="F602" s="118"/>
    </row>
    <row r="603" spans="6:6" ht="12" customHeight="1" x14ac:dyDescent="0.3">
      <c r="F603" s="118"/>
    </row>
    <row r="604" spans="6:6" ht="12" customHeight="1" x14ac:dyDescent="0.3">
      <c r="F604" s="118"/>
    </row>
    <row r="605" spans="6:6" ht="12" customHeight="1" x14ac:dyDescent="0.3">
      <c r="F605" s="118"/>
    </row>
    <row r="606" spans="6:6" ht="12" customHeight="1" x14ac:dyDescent="0.3">
      <c r="F606" s="118"/>
    </row>
    <row r="607" spans="6:6" ht="12" customHeight="1" x14ac:dyDescent="0.3">
      <c r="F607" s="118"/>
    </row>
    <row r="608" spans="6:6" ht="12" customHeight="1" x14ac:dyDescent="0.3">
      <c r="F608" s="118"/>
    </row>
    <row r="609" spans="6:6" ht="12" customHeight="1" x14ac:dyDescent="0.3">
      <c r="F609" s="118"/>
    </row>
    <row r="610" spans="6:6" ht="12" customHeight="1" x14ac:dyDescent="0.3">
      <c r="F610" s="118"/>
    </row>
    <row r="611" spans="6:6" ht="12" customHeight="1" x14ac:dyDescent="0.3">
      <c r="F611" s="118"/>
    </row>
    <row r="612" spans="6:6" ht="12" customHeight="1" x14ac:dyDescent="0.3">
      <c r="F612" s="118"/>
    </row>
    <row r="613" spans="6:6" ht="12" customHeight="1" x14ac:dyDescent="0.3">
      <c r="F613" s="118"/>
    </row>
    <row r="614" spans="6:6" ht="12" customHeight="1" x14ac:dyDescent="0.3">
      <c r="F614" s="118"/>
    </row>
    <row r="615" spans="6:6" ht="12" customHeight="1" x14ac:dyDescent="0.3">
      <c r="F615" s="118"/>
    </row>
    <row r="616" spans="6:6" ht="12" customHeight="1" x14ac:dyDescent="0.3">
      <c r="F616" s="118"/>
    </row>
    <row r="617" spans="6:6" ht="12" customHeight="1" x14ac:dyDescent="0.3">
      <c r="F617" s="118"/>
    </row>
    <row r="618" spans="6:6" ht="12" customHeight="1" x14ac:dyDescent="0.3">
      <c r="F618" s="118"/>
    </row>
    <row r="619" spans="6:6" ht="12" customHeight="1" x14ac:dyDescent="0.3">
      <c r="F619" s="118"/>
    </row>
    <row r="620" spans="6:6" ht="12" customHeight="1" x14ac:dyDescent="0.3">
      <c r="F620" s="118"/>
    </row>
    <row r="621" spans="6:6" ht="12" customHeight="1" x14ac:dyDescent="0.3">
      <c r="F621" s="118"/>
    </row>
    <row r="622" spans="6:6" ht="12" customHeight="1" x14ac:dyDescent="0.3">
      <c r="F622" s="118"/>
    </row>
    <row r="623" spans="6:6" ht="12" customHeight="1" x14ac:dyDescent="0.3">
      <c r="F623" s="118"/>
    </row>
    <row r="624" spans="6:6" ht="12" customHeight="1" x14ac:dyDescent="0.3">
      <c r="F624" s="118"/>
    </row>
    <row r="625" spans="6:6" ht="12" customHeight="1" x14ac:dyDescent="0.3">
      <c r="F625" s="118"/>
    </row>
    <row r="626" spans="6:6" ht="12" customHeight="1" x14ac:dyDescent="0.3">
      <c r="F626" s="118"/>
    </row>
    <row r="627" spans="6:6" ht="12" customHeight="1" x14ac:dyDescent="0.3">
      <c r="F627" s="118"/>
    </row>
    <row r="628" spans="6:6" ht="12" customHeight="1" x14ac:dyDescent="0.3">
      <c r="F628" s="118"/>
    </row>
    <row r="629" spans="6:6" ht="12" customHeight="1" x14ac:dyDescent="0.3">
      <c r="F629" s="118"/>
    </row>
    <row r="630" spans="6:6" ht="12" customHeight="1" x14ac:dyDescent="0.3">
      <c r="F630" s="118"/>
    </row>
    <row r="631" spans="6:6" ht="12" customHeight="1" x14ac:dyDescent="0.3">
      <c r="F631" s="118"/>
    </row>
    <row r="632" spans="6:6" ht="12" customHeight="1" x14ac:dyDescent="0.3">
      <c r="F632" s="118"/>
    </row>
    <row r="633" spans="6:6" ht="12" customHeight="1" x14ac:dyDescent="0.3">
      <c r="F633" s="118"/>
    </row>
    <row r="634" spans="6:6" ht="12" customHeight="1" x14ac:dyDescent="0.3">
      <c r="F634" s="118"/>
    </row>
    <row r="635" spans="6:6" ht="12" customHeight="1" x14ac:dyDescent="0.3">
      <c r="F635" s="118"/>
    </row>
    <row r="636" spans="6:6" ht="12" customHeight="1" x14ac:dyDescent="0.3">
      <c r="F636" s="118"/>
    </row>
    <row r="637" spans="6:6" ht="12" customHeight="1" x14ac:dyDescent="0.3">
      <c r="F637" s="118"/>
    </row>
    <row r="638" spans="6:6" ht="12" customHeight="1" x14ac:dyDescent="0.3">
      <c r="F638" s="118"/>
    </row>
    <row r="639" spans="6:6" ht="12" customHeight="1" x14ac:dyDescent="0.3">
      <c r="F639" s="118"/>
    </row>
    <row r="640" spans="6:6" ht="12" customHeight="1" x14ac:dyDescent="0.3">
      <c r="F640" s="118"/>
    </row>
    <row r="641" spans="6:6" ht="12" customHeight="1" x14ac:dyDescent="0.3">
      <c r="F641" s="118"/>
    </row>
    <row r="642" spans="6:6" ht="12" customHeight="1" x14ac:dyDescent="0.3">
      <c r="F642" s="118"/>
    </row>
    <row r="643" spans="6:6" ht="12" customHeight="1" x14ac:dyDescent="0.3">
      <c r="F643" s="118"/>
    </row>
    <row r="644" spans="6:6" ht="12" customHeight="1" x14ac:dyDescent="0.3">
      <c r="F644" s="118"/>
    </row>
    <row r="645" spans="6:6" ht="12" customHeight="1" x14ac:dyDescent="0.3">
      <c r="F645" s="118"/>
    </row>
    <row r="646" spans="6:6" ht="12" customHeight="1" x14ac:dyDescent="0.3">
      <c r="F646" s="118"/>
    </row>
    <row r="647" spans="6:6" ht="12" customHeight="1" x14ac:dyDescent="0.3">
      <c r="F647" s="118"/>
    </row>
    <row r="648" spans="6:6" ht="12" customHeight="1" x14ac:dyDescent="0.3">
      <c r="F648" s="118"/>
    </row>
    <row r="649" spans="6:6" ht="12" customHeight="1" x14ac:dyDescent="0.3">
      <c r="F649" s="118"/>
    </row>
    <row r="650" spans="6:6" ht="12" customHeight="1" x14ac:dyDescent="0.3">
      <c r="F650" s="118"/>
    </row>
    <row r="651" spans="6:6" ht="12" customHeight="1" x14ac:dyDescent="0.3">
      <c r="F651" s="118"/>
    </row>
    <row r="652" spans="6:6" ht="12" customHeight="1" x14ac:dyDescent="0.3">
      <c r="F652" s="118"/>
    </row>
    <row r="653" spans="6:6" ht="12" customHeight="1" x14ac:dyDescent="0.3">
      <c r="F653" s="118"/>
    </row>
    <row r="654" spans="6:6" ht="12" customHeight="1" x14ac:dyDescent="0.3">
      <c r="F654" s="118"/>
    </row>
    <row r="655" spans="6:6" ht="12" customHeight="1" x14ac:dyDescent="0.3">
      <c r="F655" s="118"/>
    </row>
    <row r="656" spans="6:6" ht="12" customHeight="1" x14ac:dyDescent="0.3">
      <c r="F656" s="118"/>
    </row>
    <row r="657" spans="6:6" ht="12" customHeight="1" x14ac:dyDescent="0.3">
      <c r="F657" s="118"/>
    </row>
    <row r="658" spans="6:6" ht="12" customHeight="1" x14ac:dyDescent="0.3">
      <c r="F658" s="118"/>
    </row>
    <row r="659" spans="6:6" ht="12" customHeight="1" x14ac:dyDescent="0.3">
      <c r="F659" s="118"/>
    </row>
    <row r="660" spans="6:6" ht="12" customHeight="1" x14ac:dyDescent="0.3">
      <c r="F660" s="118"/>
    </row>
    <row r="661" spans="6:6" ht="12" customHeight="1" x14ac:dyDescent="0.3">
      <c r="F661" s="118"/>
    </row>
    <row r="662" spans="6:6" ht="12" customHeight="1" x14ac:dyDescent="0.3">
      <c r="F662" s="118"/>
    </row>
    <row r="663" spans="6:6" ht="12" customHeight="1" x14ac:dyDescent="0.3">
      <c r="F663" s="118"/>
    </row>
    <row r="664" spans="6:6" ht="12" customHeight="1" x14ac:dyDescent="0.3">
      <c r="F664" s="118"/>
    </row>
    <row r="665" spans="6:6" ht="12" customHeight="1" x14ac:dyDescent="0.3">
      <c r="F665" s="118"/>
    </row>
    <row r="666" spans="6:6" ht="12" customHeight="1" x14ac:dyDescent="0.3">
      <c r="F666" s="118"/>
    </row>
    <row r="667" spans="6:6" ht="12" customHeight="1" x14ac:dyDescent="0.3">
      <c r="F667" s="118"/>
    </row>
    <row r="668" spans="6:6" ht="12" customHeight="1" x14ac:dyDescent="0.3">
      <c r="F668" s="118"/>
    </row>
    <row r="669" spans="6:6" ht="12" customHeight="1" x14ac:dyDescent="0.3">
      <c r="F669" s="118"/>
    </row>
    <row r="670" spans="6:6" ht="12" customHeight="1" x14ac:dyDescent="0.3">
      <c r="F670" s="118"/>
    </row>
    <row r="671" spans="6:6" ht="12" customHeight="1" x14ac:dyDescent="0.3">
      <c r="F671" s="118"/>
    </row>
    <row r="672" spans="6:6" ht="12" customHeight="1" x14ac:dyDescent="0.3">
      <c r="F672" s="118"/>
    </row>
    <row r="673" spans="6:6" ht="12" customHeight="1" x14ac:dyDescent="0.3">
      <c r="F673" s="118"/>
    </row>
    <row r="674" spans="6:6" ht="12" customHeight="1" x14ac:dyDescent="0.3">
      <c r="F674" s="118"/>
    </row>
    <row r="675" spans="6:6" ht="12" customHeight="1" x14ac:dyDescent="0.3">
      <c r="F675" s="118"/>
    </row>
    <row r="676" spans="6:6" ht="12" customHeight="1" x14ac:dyDescent="0.3">
      <c r="F676" s="118"/>
    </row>
    <row r="677" spans="6:6" ht="12" customHeight="1" x14ac:dyDescent="0.3">
      <c r="F677" s="118"/>
    </row>
    <row r="678" spans="6:6" ht="12" customHeight="1" x14ac:dyDescent="0.3">
      <c r="F678" s="118"/>
    </row>
    <row r="679" spans="6:6" ht="12" customHeight="1" x14ac:dyDescent="0.3">
      <c r="F679" s="118"/>
    </row>
    <row r="680" spans="6:6" ht="12" customHeight="1" x14ac:dyDescent="0.3">
      <c r="F680" s="118"/>
    </row>
    <row r="681" spans="6:6" ht="12" customHeight="1" x14ac:dyDescent="0.3">
      <c r="F681" s="118"/>
    </row>
    <row r="682" spans="6:6" ht="12" customHeight="1" x14ac:dyDescent="0.3">
      <c r="F682" s="118"/>
    </row>
    <row r="683" spans="6:6" ht="12" customHeight="1" x14ac:dyDescent="0.3">
      <c r="F683" s="118"/>
    </row>
    <row r="684" spans="6:6" ht="12" customHeight="1" x14ac:dyDescent="0.3">
      <c r="F684" s="118"/>
    </row>
    <row r="685" spans="6:6" ht="12" customHeight="1" x14ac:dyDescent="0.3">
      <c r="F685" s="118"/>
    </row>
    <row r="686" spans="6:6" ht="12" customHeight="1" x14ac:dyDescent="0.3">
      <c r="F686" s="118"/>
    </row>
    <row r="687" spans="6:6" ht="12" customHeight="1" x14ac:dyDescent="0.3">
      <c r="F687" s="118"/>
    </row>
    <row r="688" spans="6:6" ht="12" customHeight="1" x14ac:dyDescent="0.3">
      <c r="F688" s="118"/>
    </row>
    <row r="689" spans="6:6" ht="12" customHeight="1" x14ac:dyDescent="0.3">
      <c r="F689" s="118"/>
    </row>
    <row r="690" spans="6:6" ht="12" customHeight="1" x14ac:dyDescent="0.3">
      <c r="F690" s="118"/>
    </row>
    <row r="691" spans="6:6" ht="12" customHeight="1" x14ac:dyDescent="0.3">
      <c r="F691" s="118"/>
    </row>
    <row r="692" spans="6:6" ht="12" customHeight="1" x14ac:dyDescent="0.3">
      <c r="F692" s="118"/>
    </row>
    <row r="693" spans="6:6" ht="12" customHeight="1" x14ac:dyDescent="0.3">
      <c r="F693" s="118"/>
    </row>
    <row r="694" spans="6:6" ht="12" customHeight="1" x14ac:dyDescent="0.3">
      <c r="F694" s="118"/>
    </row>
    <row r="695" spans="6:6" ht="12" customHeight="1" x14ac:dyDescent="0.3">
      <c r="F695" s="118"/>
    </row>
    <row r="696" spans="6:6" ht="12" customHeight="1" x14ac:dyDescent="0.3">
      <c r="F696" s="118"/>
    </row>
    <row r="697" spans="6:6" ht="12" customHeight="1" x14ac:dyDescent="0.3">
      <c r="F697" s="118"/>
    </row>
    <row r="698" spans="6:6" ht="12" customHeight="1" x14ac:dyDescent="0.3">
      <c r="F698" s="118"/>
    </row>
    <row r="699" spans="6:6" ht="12" customHeight="1" x14ac:dyDescent="0.3">
      <c r="F699" s="118"/>
    </row>
    <row r="700" spans="6:6" ht="12" customHeight="1" x14ac:dyDescent="0.3">
      <c r="F700" s="118"/>
    </row>
    <row r="701" spans="6:6" ht="12" customHeight="1" x14ac:dyDescent="0.3">
      <c r="F701" s="118"/>
    </row>
    <row r="702" spans="6:6" ht="12" customHeight="1" x14ac:dyDescent="0.3">
      <c r="F702" s="118"/>
    </row>
    <row r="703" spans="6:6" ht="12" customHeight="1" x14ac:dyDescent="0.3">
      <c r="F703" s="118"/>
    </row>
    <row r="704" spans="6:6" ht="12" customHeight="1" x14ac:dyDescent="0.3">
      <c r="F704" s="118"/>
    </row>
    <row r="705" spans="6:6" ht="12" customHeight="1" x14ac:dyDescent="0.3">
      <c r="F705" s="118"/>
    </row>
    <row r="706" spans="6:6" ht="12" customHeight="1" x14ac:dyDescent="0.3">
      <c r="F706" s="118"/>
    </row>
    <row r="707" spans="6:6" ht="12" customHeight="1" x14ac:dyDescent="0.3">
      <c r="F707" s="118"/>
    </row>
    <row r="708" spans="6:6" ht="12" customHeight="1" x14ac:dyDescent="0.3">
      <c r="F708" s="118"/>
    </row>
    <row r="709" spans="6:6" ht="12" customHeight="1" x14ac:dyDescent="0.3">
      <c r="F709" s="118"/>
    </row>
    <row r="710" spans="6:6" ht="12" customHeight="1" x14ac:dyDescent="0.3">
      <c r="F710" s="118"/>
    </row>
    <row r="711" spans="6:6" ht="12" customHeight="1" x14ac:dyDescent="0.3">
      <c r="F711" s="118"/>
    </row>
    <row r="712" spans="6:6" ht="12" customHeight="1" x14ac:dyDescent="0.3">
      <c r="F712" s="118"/>
    </row>
    <row r="713" spans="6:6" ht="12" customHeight="1" x14ac:dyDescent="0.3">
      <c r="F713" s="118"/>
    </row>
    <row r="714" spans="6:6" ht="12" customHeight="1" x14ac:dyDescent="0.3">
      <c r="F714" s="118"/>
    </row>
    <row r="715" spans="6:6" ht="12" customHeight="1" x14ac:dyDescent="0.3">
      <c r="F715" s="118"/>
    </row>
    <row r="716" spans="6:6" ht="12" customHeight="1" x14ac:dyDescent="0.3">
      <c r="F716" s="118"/>
    </row>
    <row r="717" spans="6:6" ht="12" customHeight="1" x14ac:dyDescent="0.3">
      <c r="F717" s="118"/>
    </row>
    <row r="718" spans="6:6" ht="12" customHeight="1" x14ac:dyDescent="0.3">
      <c r="F718" s="118"/>
    </row>
    <row r="719" spans="6:6" ht="12" customHeight="1" x14ac:dyDescent="0.3">
      <c r="F719" s="118"/>
    </row>
    <row r="720" spans="6:6" ht="12" customHeight="1" x14ac:dyDescent="0.3">
      <c r="F720" s="118"/>
    </row>
    <row r="721" spans="6:6" ht="12" customHeight="1" x14ac:dyDescent="0.3">
      <c r="F721" s="118"/>
    </row>
    <row r="722" spans="6:6" ht="12" customHeight="1" x14ac:dyDescent="0.3">
      <c r="F722" s="118"/>
    </row>
    <row r="723" spans="6:6" ht="12" customHeight="1" x14ac:dyDescent="0.3">
      <c r="F723" s="118"/>
    </row>
    <row r="724" spans="6:6" ht="12" customHeight="1" x14ac:dyDescent="0.3">
      <c r="F724" s="118"/>
    </row>
    <row r="725" spans="6:6" ht="12" customHeight="1" x14ac:dyDescent="0.3">
      <c r="F725" s="118"/>
    </row>
    <row r="726" spans="6:6" ht="12" customHeight="1" x14ac:dyDescent="0.3">
      <c r="F726" s="118"/>
    </row>
    <row r="727" spans="6:6" ht="12" customHeight="1" x14ac:dyDescent="0.3">
      <c r="F727" s="118"/>
    </row>
    <row r="728" spans="6:6" ht="12" customHeight="1" x14ac:dyDescent="0.3">
      <c r="F728" s="118"/>
    </row>
    <row r="729" spans="6:6" ht="12" customHeight="1" x14ac:dyDescent="0.3">
      <c r="F729" s="118"/>
    </row>
    <row r="730" spans="6:6" ht="12" customHeight="1" x14ac:dyDescent="0.3">
      <c r="F730" s="118"/>
    </row>
    <row r="731" spans="6:6" ht="12" customHeight="1" x14ac:dyDescent="0.3">
      <c r="F731" s="118"/>
    </row>
    <row r="732" spans="6:6" ht="12" customHeight="1" x14ac:dyDescent="0.3">
      <c r="F732" s="118"/>
    </row>
    <row r="733" spans="6:6" ht="12" customHeight="1" x14ac:dyDescent="0.3">
      <c r="F733" s="118"/>
    </row>
    <row r="734" spans="6:6" ht="12" customHeight="1" x14ac:dyDescent="0.3">
      <c r="F734" s="118"/>
    </row>
    <row r="735" spans="6:6" ht="12" customHeight="1" x14ac:dyDescent="0.3">
      <c r="F735" s="118"/>
    </row>
    <row r="736" spans="6:6" ht="12" customHeight="1" x14ac:dyDescent="0.3">
      <c r="F736" s="118"/>
    </row>
    <row r="737" spans="6:6" ht="12" customHeight="1" x14ac:dyDescent="0.3">
      <c r="F737" s="118"/>
    </row>
    <row r="738" spans="6:6" ht="12" customHeight="1" x14ac:dyDescent="0.3">
      <c r="F738" s="118"/>
    </row>
    <row r="739" spans="6:6" ht="12" customHeight="1" x14ac:dyDescent="0.3">
      <c r="F739" s="118"/>
    </row>
    <row r="740" spans="6:6" ht="12" customHeight="1" x14ac:dyDescent="0.3">
      <c r="F740" s="118"/>
    </row>
    <row r="741" spans="6:6" ht="12" customHeight="1" x14ac:dyDescent="0.3">
      <c r="F741" s="118"/>
    </row>
    <row r="742" spans="6:6" ht="12" customHeight="1" x14ac:dyDescent="0.3">
      <c r="F742" s="118"/>
    </row>
    <row r="743" spans="6:6" ht="12" customHeight="1" x14ac:dyDescent="0.3">
      <c r="F743" s="118"/>
    </row>
    <row r="744" spans="6:6" ht="12" customHeight="1" x14ac:dyDescent="0.3">
      <c r="F744" s="118"/>
    </row>
    <row r="745" spans="6:6" ht="12" customHeight="1" x14ac:dyDescent="0.3">
      <c r="F745" s="118"/>
    </row>
    <row r="746" spans="6:6" ht="12" customHeight="1" x14ac:dyDescent="0.3">
      <c r="F746" s="118"/>
    </row>
    <row r="747" spans="6:6" ht="12" customHeight="1" x14ac:dyDescent="0.3">
      <c r="F747" s="118"/>
    </row>
    <row r="748" spans="6:6" ht="12" customHeight="1" x14ac:dyDescent="0.3">
      <c r="F748" s="118"/>
    </row>
    <row r="749" spans="6:6" ht="12" customHeight="1" x14ac:dyDescent="0.3">
      <c r="F749" s="118"/>
    </row>
    <row r="750" spans="6:6" ht="12" customHeight="1" x14ac:dyDescent="0.3">
      <c r="F750" s="118"/>
    </row>
    <row r="751" spans="6:6" ht="12" customHeight="1" x14ac:dyDescent="0.3">
      <c r="F751" s="118"/>
    </row>
    <row r="752" spans="6:6" ht="12" customHeight="1" x14ac:dyDescent="0.3">
      <c r="F752" s="118"/>
    </row>
    <row r="753" spans="6:6" ht="12" customHeight="1" x14ac:dyDescent="0.3">
      <c r="F753" s="118"/>
    </row>
    <row r="754" spans="6:6" ht="12" customHeight="1" x14ac:dyDescent="0.3">
      <c r="F754" s="118"/>
    </row>
    <row r="755" spans="6:6" ht="12" customHeight="1" x14ac:dyDescent="0.3">
      <c r="F755" s="118"/>
    </row>
    <row r="756" spans="6:6" ht="12" customHeight="1" x14ac:dyDescent="0.3">
      <c r="F756" s="118"/>
    </row>
    <row r="757" spans="6:6" ht="12" customHeight="1" x14ac:dyDescent="0.3">
      <c r="F757" s="118"/>
    </row>
    <row r="758" spans="6:6" ht="12" customHeight="1" x14ac:dyDescent="0.3">
      <c r="F758" s="118"/>
    </row>
    <row r="759" spans="6:6" ht="12" customHeight="1" x14ac:dyDescent="0.3">
      <c r="F759" s="118"/>
    </row>
    <row r="760" spans="6:6" ht="12" customHeight="1" x14ac:dyDescent="0.3">
      <c r="F760" s="118"/>
    </row>
    <row r="761" spans="6:6" ht="12" customHeight="1" x14ac:dyDescent="0.3">
      <c r="F761" s="118"/>
    </row>
    <row r="762" spans="6:6" ht="12" customHeight="1" x14ac:dyDescent="0.3">
      <c r="F762" s="118"/>
    </row>
    <row r="763" spans="6:6" ht="12" customHeight="1" x14ac:dyDescent="0.3">
      <c r="F763" s="118"/>
    </row>
    <row r="764" spans="6:6" ht="12" customHeight="1" x14ac:dyDescent="0.3">
      <c r="F764" s="118"/>
    </row>
    <row r="765" spans="6:6" ht="12" customHeight="1" x14ac:dyDescent="0.3">
      <c r="F765" s="118"/>
    </row>
    <row r="766" spans="6:6" ht="12" customHeight="1" x14ac:dyDescent="0.3">
      <c r="F766" s="118"/>
    </row>
    <row r="767" spans="6:6" ht="12" customHeight="1" x14ac:dyDescent="0.3">
      <c r="F767" s="118"/>
    </row>
    <row r="768" spans="6:6" ht="12" customHeight="1" x14ac:dyDescent="0.3">
      <c r="F768" s="118"/>
    </row>
    <row r="769" spans="6:6" ht="12" customHeight="1" x14ac:dyDescent="0.3">
      <c r="F769" s="118"/>
    </row>
    <row r="770" spans="6:6" ht="12" customHeight="1" x14ac:dyDescent="0.3">
      <c r="F770" s="118"/>
    </row>
    <row r="771" spans="6:6" ht="12" customHeight="1" x14ac:dyDescent="0.3">
      <c r="F771" s="118"/>
    </row>
    <row r="772" spans="6:6" ht="12" customHeight="1" x14ac:dyDescent="0.3">
      <c r="F772" s="118"/>
    </row>
    <row r="773" spans="6:6" ht="12" customHeight="1" x14ac:dyDescent="0.3">
      <c r="F773" s="118"/>
    </row>
    <row r="774" spans="6:6" ht="12" customHeight="1" x14ac:dyDescent="0.3">
      <c r="F774" s="118"/>
    </row>
    <row r="775" spans="6:6" ht="12" customHeight="1" x14ac:dyDescent="0.3">
      <c r="F775" s="118"/>
    </row>
    <row r="776" spans="6:6" ht="12" customHeight="1" x14ac:dyDescent="0.3">
      <c r="F776" s="118"/>
    </row>
    <row r="777" spans="6:6" ht="12" customHeight="1" x14ac:dyDescent="0.3">
      <c r="F777" s="118"/>
    </row>
    <row r="778" spans="6:6" ht="12" customHeight="1" x14ac:dyDescent="0.3">
      <c r="F778" s="118"/>
    </row>
    <row r="779" spans="6:6" ht="12" customHeight="1" x14ac:dyDescent="0.3">
      <c r="F779" s="118"/>
    </row>
    <row r="780" spans="6:6" ht="12" customHeight="1" x14ac:dyDescent="0.3">
      <c r="F780" s="118"/>
    </row>
    <row r="781" spans="6:6" ht="12" customHeight="1" x14ac:dyDescent="0.3">
      <c r="F781" s="118"/>
    </row>
    <row r="782" spans="6:6" ht="12" customHeight="1" x14ac:dyDescent="0.3">
      <c r="F782" s="118"/>
    </row>
    <row r="783" spans="6:6" ht="12" customHeight="1" x14ac:dyDescent="0.3">
      <c r="F783" s="118"/>
    </row>
    <row r="784" spans="6:6" ht="12" customHeight="1" x14ac:dyDescent="0.3">
      <c r="F784" s="118"/>
    </row>
    <row r="785" spans="6:6" ht="12" customHeight="1" x14ac:dyDescent="0.3">
      <c r="F785" s="118"/>
    </row>
    <row r="786" spans="6:6" ht="12" customHeight="1" x14ac:dyDescent="0.3">
      <c r="F786" s="118"/>
    </row>
    <row r="787" spans="6:6" ht="12" customHeight="1" x14ac:dyDescent="0.3">
      <c r="F787" s="118"/>
    </row>
    <row r="788" spans="6:6" ht="12" customHeight="1" x14ac:dyDescent="0.3">
      <c r="F788" s="118"/>
    </row>
    <row r="789" spans="6:6" ht="12" customHeight="1" x14ac:dyDescent="0.3">
      <c r="F789" s="118"/>
    </row>
    <row r="790" spans="6:6" ht="12" customHeight="1" x14ac:dyDescent="0.3">
      <c r="F790" s="118"/>
    </row>
    <row r="791" spans="6:6" ht="12" customHeight="1" x14ac:dyDescent="0.3">
      <c r="F791" s="118"/>
    </row>
    <row r="792" spans="6:6" ht="12" customHeight="1" x14ac:dyDescent="0.3">
      <c r="F792" s="118"/>
    </row>
    <row r="793" spans="6:6" ht="12" customHeight="1" x14ac:dyDescent="0.3">
      <c r="F793" s="118"/>
    </row>
    <row r="794" spans="6:6" ht="12" customHeight="1" x14ac:dyDescent="0.3">
      <c r="F794" s="118"/>
    </row>
    <row r="795" spans="6:6" ht="12" customHeight="1" x14ac:dyDescent="0.3">
      <c r="F795" s="118"/>
    </row>
    <row r="796" spans="6:6" ht="12" customHeight="1" x14ac:dyDescent="0.3">
      <c r="F796" s="118"/>
    </row>
    <row r="797" spans="6:6" ht="12" customHeight="1" x14ac:dyDescent="0.3">
      <c r="F797" s="118"/>
    </row>
    <row r="798" spans="6:6" ht="12" customHeight="1" x14ac:dyDescent="0.3">
      <c r="F798" s="118"/>
    </row>
    <row r="799" spans="6:6" ht="12" customHeight="1" x14ac:dyDescent="0.3">
      <c r="F799" s="118"/>
    </row>
    <row r="800" spans="6:6" ht="12" customHeight="1" x14ac:dyDescent="0.3">
      <c r="F800" s="118"/>
    </row>
    <row r="801" spans="6:6" ht="12" customHeight="1" x14ac:dyDescent="0.3">
      <c r="F801" s="118"/>
    </row>
    <row r="802" spans="6:6" ht="12" customHeight="1" x14ac:dyDescent="0.3">
      <c r="F802" s="118"/>
    </row>
    <row r="803" spans="6:6" ht="12" customHeight="1" x14ac:dyDescent="0.3">
      <c r="F803" s="118"/>
    </row>
    <row r="804" spans="6:6" ht="12" customHeight="1" x14ac:dyDescent="0.3">
      <c r="F804" s="118"/>
    </row>
    <row r="805" spans="6:6" ht="12" customHeight="1" x14ac:dyDescent="0.3">
      <c r="F805" s="118"/>
    </row>
    <row r="806" spans="6:6" ht="12" customHeight="1" x14ac:dyDescent="0.3">
      <c r="F806" s="118"/>
    </row>
    <row r="807" spans="6:6" ht="12" customHeight="1" x14ac:dyDescent="0.3">
      <c r="F807" s="118"/>
    </row>
    <row r="808" spans="6:6" ht="12" customHeight="1" x14ac:dyDescent="0.3">
      <c r="F808" s="118"/>
    </row>
    <row r="809" spans="6:6" ht="12" customHeight="1" x14ac:dyDescent="0.3">
      <c r="F809" s="118"/>
    </row>
    <row r="810" spans="6:6" ht="12" customHeight="1" x14ac:dyDescent="0.3">
      <c r="F810" s="118"/>
    </row>
    <row r="811" spans="6:6" ht="12" customHeight="1" x14ac:dyDescent="0.3">
      <c r="F811" s="118"/>
    </row>
    <row r="812" spans="6:6" ht="12" customHeight="1" x14ac:dyDescent="0.3">
      <c r="F812" s="118"/>
    </row>
    <row r="813" spans="6:6" ht="12" customHeight="1" x14ac:dyDescent="0.3">
      <c r="F813" s="118"/>
    </row>
    <row r="814" spans="6:6" ht="12" customHeight="1" x14ac:dyDescent="0.3">
      <c r="F814" s="118"/>
    </row>
    <row r="815" spans="6:6" ht="12" customHeight="1" x14ac:dyDescent="0.3">
      <c r="F815" s="118"/>
    </row>
    <row r="816" spans="6:6" ht="12" customHeight="1" x14ac:dyDescent="0.3">
      <c r="F816" s="118"/>
    </row>
    <row r="817" spans="6:6" ht="12" customHeight="1" x14ac:dyDescent="0.3">
      <c r="F817" s="118"/>
    </row>
    <row r="818" spans="6:6" ht="12" customHeight="1" x14ac:dyDescent="0.3">
      <c r="F818" s="118"/>
    </row>
    <row r="819" spans="6:6" ht="12" customHeight="1" x14ac:dyDescent="0.3">
      <c r="F819" s="118"/>
    </row>
    <row r="820" spans="6:6" ht="12" customHeight="1" x14ac:dyDescent="0.3">
      <c r="F820" s="118"/>
    </row>
    <row r="821" spans="6:6" ht="12" customHeight="1" x14ac:dyDescent="0.3">
      <c r="F821" s="118"/>
    </row>
    <row r="822" spans="6:6" ht="12" customHeight="1" x14ac:dyDescent="0.3">
      <c r="F822" s="118"/>
    </row>
    <row r="823" spans="6:6" ht="12" customHeight="1" x14ac:dyDescent="0.3">
      <c r="F823" s="118"/>
    </row>
    <row r="824" spans="6:6" ht="12" customHeight="1" x14ac:dyDescent="0.3">
      <c r="F824" s="118"/>
    </row>
    <row r="825" spans="6:6" ht="12" customHeight="1" x14ac:dyDescent="0.3">
      <c r="F825" s="118"/>
    </row>
    <row r="826" spans="6:6" ht="12" customHeight="1" x14ac:dyDescent="0.3">
      <c r="F826" s="118"/>
    </row>
    <row r="827" spans="6:6" ht="12" customHeight="1" x14ac:dyDescent="0.3">
      <c r="F827" s="118"/>
    </row>
    <row r="828" spans="6:6" ht="12" customHeight="1" x14ac:dyDescent="0.3">
      <c r="F828" s="118"/>
    </row>
    <row r="829" spans="6:6" ht="12" customHeight="1" x14ac:dyDescent="0.3">
      <c r="F829" s="118"/>
    </row>
    <row r="830" spans="6:6" ht="12" customHeight="1" x14ac:dyDescent="0.3">
      <c r="F830" s="118"/>
    </row>
    <row r="831" spans="6:6" ht="12" customHeight="1" x14ac:dyDescent="0.3">
      <c r="F831" s="118"/>
    </row>
    <row r="832" spans="6:6" ht="12" customHeight="1" x14ac:dyDescent="0.3">
      <c r="F832" s="118"/>
    </row>
    <row r="833" spans="6:6" ht="12" customHeight="1" x14ac:dyDescent="0.3">
      <c r="F833" s="118"/>
    </row>
    <row r="834" spans="6:6" ht="12" customHeight="1" x14ac:dyDescent="0.3">
      <c r="F834" s="118"/>
    </row>
    <row r="835" spans="6:6" ht="12" customHeight="1" x14ac:dyDescent="0.3">
      <c r="F835" s="118"/>
    </row>
    <row r="836" spans="6:6" ht="12" customHeight="1" x14ac:dyDescent="0.3">
      <c r="F836" s="118"/>
    </row>
    <row r="837" spans="6:6" ht="12" customHeight="1" x14ac:dyDescent="0.3">
      <c r="F837" s="118"/>
    </row>
    <row r="838" spans="6:6" ht="12" customHeight="1" x14ac:dyDescent="0.3">
      <c r="F838" s="118"/>
    </row>
    <row r="839" spans="6:6" ht="12" customHeight="1" x14ac:dyDescent="0.3">
      <c r="F839" s="118"/>
    </row>
    <row r="840" spans="6:6" ht="12" customHeight="1" x14ac:dyDescent="0.3">
      <c r="F840" s="118"/>
    </row>
    <row r="841" spans="6:6" ht="12" customHeight="1" x14ac:dyDescent="0.3">
      <c r="F841" s="118"/>
    </row>
    <row r="842" spans="6:6" ht="12" customHeight="1" x14ac:dyDescent="0.3">
      <c r="F842" s="118"/>
    </row>
    <row r="843" spans="6:6" ht="12" customHeight="1" x14ac:dyDescent="0.3">
      <c r="F843" s="118"/>
    </row>
    <row r="844" spans="6:6" ht="12" customHeight="1" x14ac:dyDescent="0.3">
      <c r="F844" s="118"/>
    </row>
    <row r="845" spans="6:6" ht="12" customHeight="1" x14ac:dyDescent="0.3">
      <c r="F845" s="118"/>
    </row>
    <row r="846" spans="6:6" ht="12" customHeight="1" x14ac:dyDescent="0.3">
      <c r="F846" s="118"/>
    </row>
    <row r="847" spans="6:6" ht="12" customHeight="1" x14ac:dyDescent="0.3">
      <c r="F847" s="118"/>
    </row>
    <row r="848" spans="6:6" ht="12" customHeight="1" x14ac:dyDescent="0.3">
      <c r="F848" s="118"/>
    </row>
    <row r="849" spans="6:6" ht="12" customHeight="1" x14ac:dyDescent="0.3">
      <c r="F849" s="118"/>
    </row>
    <row r="850" spans="6:6" ht="12" customHeight="1" x14ac:dyDescent="0.3">
      <c r="F850" s="118"/>
    </row>
    <row r="851" spans="6:6" ht="12" customHeight="1" x14ac:dyDescent="0.3">
      <c r="F851" s="118"/>
    </row>
    <row r="852" spans="6:6" ht="12" customHeight="1" x14ac:dyDescent="0.3">
      <c r="F852" s="118"/>
    </row>
    <row r="853" spans="6:6" ht="12" customHeight="1" x14ac:dyDescent="0.3">
      <c r="F853" s="118"/>
    </row>
    <row r="854" spans="6:6" ht="12" customHeight="1" x14ac:dyDescent="0.3">
      <c r="F854" s="118"/>
    </row>
    <row r="855" spans="6:6" ht="12" customHeight="1" x14ac:dyDescent="0.3">
      <c r="F855" s="118"/>
    </row>
    <row r="856" spans="6:6" ht="12" customHeight="1" x14ac:dyDescent="0.3">
      <c r="F856" s="118"/>
    </row>
    <row r="857" spans="6:6" ht="12" customHeight="1" x14ac:dyDescent="0.3">
      <c r="F857" s="118"/>
    </row>
    <row r="858" spans="6:6" ht="12" customHeight="1" x14ac:dyDescent="0.3">
      <c r="F858" s="118"/>
    </row>
    <row r="859" spans="6:6" ht="12" customHeight="1" x14ac:dyDescent="0.3">
      <c r="F859" s="118"/>
    </row>
    <row r="860" spans="6:6" ht="12" customHeight="1" x14ac:dyDescent="0.3">
      <c r="F860" s="118"/>
    </row>
    <row r="861" spans="6:6" ht="12" customHeight="1" x14ac:dyDescent="0.3">
      <c r="F861" s="118"/>
    </row>
    <row r="862" spans="6:6" ht="12" customHeight="1" x14ac:dyDescent="0.3">
      <c r="F862" s="118"/>
    </row>
    <row r="863" spans="6:6" ht="12" customHeight="1" x14ac:dyDescent="0.3">
      <c r="F863" s="118"/>
    </row>
    <row r="864" spans="6:6" ht="12" customHeight="1" x14ac:dyDescent="0.3">
      <c r="F864" s="118"/>
    </row>
    <row r="865" spans="6:6" ht="12" customHeight="1" x14ac:dyDescent="0.3">
      <c r="F865" s="118"/>
    </row>
    <row r="866" spans="6:6" ht="12" customHeight="1" x14ac:dyDescent="0.3">
      <c r="F866" s="118"/>
    </row>
    <row r="867" spans="6:6" ht="12" customHeight="1" x14ac:dyDescent="0.3">
      <c r="F867" s="118"/>
    </row>
    <row r="868" spans="6:6" ht="12" customHeight="1" x14ac:dyDescent="0.3">
      <c r="F868" s="118"/>
    </row>
    <row r="869" spans="6:6" ht="12" customHeight="1" x14ac:dyDescent="0.3">
      <c r="F869" s="118"/>
    </row>
    <row r="870" spans="6:6" ht="12" customHeight="1" x14ac:dyDescent="0.3">
      <c r="F870" s="118"/>
    </row>
    <row r="871" spans="6:6" ht="12" customHeight="1" x14ac:dyDescent="0.3">
      <c r="F871" s="118"/>
    </row>
    <row r="872" spans="6:6" ht="12" customHeight="1" x14ac:dyDescent="0.3">
      <c r="F872" s="118"/>
    </row>
    <row r="873" spans="6:6" ht="12" customHeight="1" x14ac:dyDescent="0.3">
      <c r="F873" s="118"/>
    </row>
    <row r="874" spans="6:6" ht="12" customHeight="1" x14ac:dyDescent="0.3">
      <c r="F874" s="118"/>
    </row>
    <row r="875" spans="6:6" ht="12" customHeight="1" x14ac:dyDescent="0.3">
      <c r="F875" s="118"/>
    </row>
    <row r="876" spans="6:6" ht="12" customHeight="1" x14ac:dyDescent="0.3">
      <c r="F876" s="118"/>
    </row>
    <row r="877" spans="6:6" ht="12" customHeight="1" x14ac:dyDescent="0.3">
      <c r="F877" s="118"/>
    </row>
    <row r="878" spans="6:6" ht="12" customHeight="1" x14ac:dyDescent="0.3">
      <c r="F878" s="118"/>
    </row>
    <row r="879" spans="6:6" ht="12" customHeight="1" x14ac:dyDescent="0.3">
      <c r="F879" s="118"/>
    </row>
    <row r="880" spans="6:6" ht="12" customHeight="1" x14ac:dyDescent="0.3">
      <c r="F880" s="118"/>
    </row>
    <row r="881" spans="6:6" ht="12" customHeight="1" x14ac:dyDescent="0.3">
      <c r="F881" s="118"/>
    </row>
    <row r="882" spans="6:6" ht="12" customHeight="1" x14ac:dyDescent="0.3">
      <c r="F882" s="118"/>
    </row>
    <row r="883" spans="6:6" ht="12" customHeight="1" x14ac:dyDescent="0.3">
      <c r="F883" s="118"/>
    </row>
    <row r="884" spans="6:6" ht="12" customHeight="1" x14ac:dyDescent="0.3">
      <c r="F884" s="118"/>
    </row>
    <row r="885" spans="6:6" ht="12" customHeight="1" x14ac:dyDescent="0.3">
      <c r="F885" s="118"/>
    </row>
    <row r="886" spans="6:6" ht="12" customHeight="1" x14ac:dyDescent="0.3">
      <c r="F886" s="118"/>
    </row>
    <row r="887" spans="6:6" ht="12" customHeight="1" x14ac:dyDescent="0.3">
      <c r="F887" s="118"/>
    </row>
    <row r="888" spans="6:6" ht="12" customHeight="1" x14ac:dyDescent="0.3">
      <c r="F888" s="118"/>
    </row>
    <row r="889" spans="6:6" ht="12" customHeight="1" x14ac:dyDescent="0.3">
      <c r="F889" s="118"/>
    </row>
    <row r="890" spans="6:6" ht="12" customHeight="1" x14ac:dyDescent="0.3">
      <c r="F890" s="118"/>
    </row>
    <row r="891" spans="6:6" ht="12" customHeight="1" x14ac:dyDescent="0.3">
      <c r="F891" s="118"/>
    </row>
    <row r="892" spans="6:6" ht="12" customHeight="1" x14ac:dyDescent="0.3">
      <c r="F892" s="118"/>
    </row>
    <row r="893" spans="6:6" ht="12" customHeight="1" x14ac:dyDescent="0.3">
      <c r="F893" s="118"/>
    </row>
    <row r="894" spans="6:6" ht="12" customHeight="1" x14ac:dyDescent="0.3">
      <c r="F894" s="118"/>
    </row>
    <row r="895" spans="6:6" ht="12" customHeight="1" x14ac:dyDescent="0.3">
      <c r="F895" s="118"/>
    </row>
    <row r="896" spans="6:6" ht="12" customHeight="1" x14ac:dyDescent="0.3">
      <c r="F896" s="118"/>
    </row>
    <row r="897" spans="6:6" ht="12" customHeight="1" x14ac:dyDescent="0.3">
      <c r="F897" s="118"/>
    </row>
    <row r="898" spans="6:6" ht="12" customHeight="1" x14ac:dyDescent="0.3">
      <c r="F898" s="118"/>
    </row>
    <row r="899" spans="6:6" ht="12" customHeight="1" x14ac:dyDescent="0.3">
      <c r="F899" s="118"/>
    </row>
    <row r="900" spans="6:6" ht="12" customHeight="1" x14ac:dyDescent="0.3">
      <c r="F900" s="118"/>
    </row>
    <row r="901" spans="6:6" ht="12" customHeight="1" x14ac:dyDescent="0.3">
      <c r="F901" s="118"/>
    </row>
    <row r="902" spans="6:6" ht="12" customHeight="1" x14ac:dyDescent="0.3">
      <c r="F902" s="118"/>
    </row>
    <row r="903" spans="6:6" ht="12" customHeight="1" x14ac:dyDescent="0.3">
      <c r="F903" s="118"/>
    </row>
    <row r="904" spans="6:6" ht="12" customHeight="1" x14ac:dyDescent="0.3">
      <c r="F904" s="118"/>
    </row>
    <row r="905" spans="6:6" ht="12" customHeight="1" x14ac:dyDescent="0.3">
      <c r="F905" s="118"/>
    </row>
    <row r="906" spans="6:6" ht="12" customHeight="1" x14ac:dyDescent="0.3">
      <c r="F906" s="118"/>
    </row>
    <row r="907" spans="6:6" ht="12" customHeight="1" x14ac:dyDescent="0.3">
      <c r="F907" s="118"/>
    </row>
    <row r="908" spans="6:6" ht="12" customHeight="1" x14ac:dyDescent="0.3">
      <c r="F908" s="118"/>
    </row>
    <row r="909" spans="6:6" ht="12" customHeight="1" x14ac:dyDescent="0.3">
      <c r="F909" s="118"/>
    </row>
    <row r="910" spans="6:6" ht="12" customHeight="1" x14ac:dyDescent="0.3">
      <c r="F910" s="118"/>
    </row>
    <row r="911" spans="6:6" ht="12" customHeight="1" x14ac:dyDescent="0.3">
      <c r="F911" s="118"/>
    </row>
    <row r="912" spans="6:6" ht="12" customHeight="1" x14ac:dyDescent="0.3">
      <c r="F912" s="118"/>
    </row>
    <row r="913" spans="6:6" ht="12" customHeight="1" x14ac:dyDescent="0.3">
      <c r="F913" s="118"/>
    </row>
    <row r="914" spans="6:6" ht="12" customHeight="1" x14ac:dyDescent="0.3">
      <c r="F914" s="118"/>
    </row>
    <row r="915" spans="6:6" ht="12" customHeight="1" x14ac:dyDescent="0.3">
      <c r="F915" s="118"/>
    </row>
    <row r="916" spans="6:6" ht="12" customHeight="1" x14ac:dyDescent="0.3">
      <c r="F916" s="118"/>
    </row>
    <row r="917" spans="6:6" ht="12" customHeight="1" x14ac:dyDescent="0.3">
      <c r="F917" s="118"/>
    </row>
    <row r="918" spans="6:6" ht="12" customHeight="1" x14ac:dyDescent="0.3">
      <c r="F918" s="118"/>
    </row>
    <row r="919" spans="6:6" ht="12" customHeight="1" x14ac:dyDescent="0.3">
      <c r="F919" s="118"/>
    </row>
    <row r="920" spans="6:6" ht="12" customHeight="1" x14ac:dyDescent="0.3">
      <c r="F920" s="118"/>
    </row>
    <row r="921" spans="6:6" ht="12" customHeight="1" x14ac:dyDescent="0.3">
      <c r="F921" s="118"/>
    </row>
    <row r="922" spans="6:6" ht="12" customHeight="1" x14ac:dyDescent="0.3">
      <c r="F922" s="118"/>
    </row>
    <row r="923" spans="6:6" ht="12" customHeight="1" x14ac:dyDescent="0.3">
      <c r="F923" s="118"/>
    </row>
    <row r="924" spans="6:6" ht="12" customHeight="1" x14ac:dyDescent="0.3">
      <c r="F924" s="118"/>
    </row>
    <row r="925" spans="6:6" ht="12" customHeight="1" x14ac:dyDescent="0.3">
      <c r="F925" s="118"/>
    </row>
    <row r="926" spans="6:6" ht="12" customHeight="1" x14ac:dyDescent="0.3">
      <c r="F926" s="118"/>
    </row>
    <row r="927" spans="6:6" ht="12" customHeight="1" x14ac:dyDescent="0.3">
      <c r="F927" s="118"/>
    </row>
    <row r="928" spans="6:6" ht="12" customHeight="1" x14ac:dyDescent="0.3">
      <c r="F928" s="118"/>
    </row>
    <row r="929" spans="6:6" ht="12" customHeight="1" x14ac:dyDescent="0.3">
      <c r="F929" s="118"/>
    </row>
    <row r="930" spans="6:6" ht="12" customHeight="1" x14ac:dyDescent="0.3">
      <c r="F930" s="118"/>
    </row>
    <row r="931" spans="6:6" ht="12" customHeight="1" x14ac:dyDescent="0.3">
      <c r="F931" s="118"/>
    </row>
    <row r="932" spans="6:6" ht="12" customHeight="1" x14ac:dyDescent="0.3">
      <c r="F932" s="118"/>
    </row>
    <row r="933" spans="6:6" ht="12" customHeight="1" x14ac:dyDescent="0.3">
      <c r="F933" s="118"/>
    </row>
    <row r="934" spans="6:6" ht="12" customHeight="1" x14ac:dyDescent="0.3">
      <c r="F934" s="118"/>
    </row>
    <row r="935" spans="6:6" ht="12" customHeight="1" x14ac:dyDescent="0.3">
      <c r="F935" s="118"/>
    </row>
    <row r="936" spans="6:6" ht="12" customHeight="1" x14ac:dyDescent="0.3">
      <c r="F936" s="118"/>
    </row>
    <row r="937" spans="6:6" ht="12" customHeight="1" x14ac:dyDescent="0.3">
      <c r="F937" s="118"/>
    </row>
    <row r="938" spans="6:6" ht="12" customHeight="1" x14ac:dyDescent="0.3">
      <c r="F938" s="118"/>
    </row>
    <row r="939" spans="6:6" ht="12" customHeight="1" x14ac:dyDescent="0.3">
      <c r="F939" s="118"/>
    </row>
    <row r="940" spans="6:6" ht="12" customHeight="1" x14ac:dyDescent="0.3">
      <c r="F940" s="118"/>
    </row>
    <row r="941" spans="6:6" ht="12" customHeight="1" x14ac:dyDescent="0.3">
      <c r="F941" s="118"/>
    </row>
    <row r="942" spans="6:6" ht="12" customHeight="1" x14ac:dyDescent="0.3">
      <c r="F942" s="118"/>
    </row>
    <row r="943" spans="6:6" ht="12" customHeight="1" x14ac:dyDescent="0.3">
      <c r="F943" s="118"/>
    </row>
    <row r="944" spans="6:6" ht="12" customHeight="1" x14ac:dyDescent="0.3">
      <c r="F944" s="118"/>
    </row>
    <row r="945" spans="6:6" ht="12" customHeight="1" x14ac:dyDescent="0.3">
      <c r="F945" s="118"/>
    </row>
    <row r="946" spans="6:6" ht="12" customHeight="1" x14ac:dyDescent="0.3">
      <c r="F946" s="118"/>
    </row>
    <row r="947" spans="6:6" ht="12" customHeight="1" x14ac:dyDescent="0.3">
      <c r="F947" s="118"/>
    </row>
    <row r="948" spans="6:6" ht="12" customHeight="1" x14ac:dyDescent="0.3">
      <c r="F948" s="118"/>
    </row>
    <row r="949" spans="6:6" ht="12" customHeight="1" x14ac:dyDescent="0.3">
      <c r="F949" s="118"/>
    </row>
    <row r="950" spans="6:6" ht="12" customHeight="1" x14ac:dyDescent="0.3">
      <c r="F950" s="118"/>
    </row>
    <row r="951" spans="6:6" ht="12" customHeight="1" x14ac:dyDescent="0.3">
      <c r="F951" s="118"/>
    </row>
    <row r="952" spans="6:6" ht="12" customHeight="1" x14ac:dyDescent="0.3">
      <c r="F952" s="118"/>
    </row>
    <row r="953" spans="6:6" ht="12" customHeight="1" x14ac:dyDescent="0.3">
      <c r="F953" s="118"/>
    </row>
    <row r="954" spans="6:6" ht="12" customHeight="1" x14ac:dyDescent="0.3">
      <c r="F954" s="118"/>
    </row>
    <row r="955" spans="6:6" ht="12" customHeight="1" x14ac:dyDescent="0.3">
      <c r="F955" s="118"/>
    </row>
    <row r="956" spans="6:6" ht="12" customHeight="1" x14ac:dyDescent="0.3">
      <c r="F956" s="118"/>
    </row>
    <row r="957" spans="6:6" ht="12" customHeight="1" x14ac:dyDescent="0.3">
      <c r="F957" s="118"/>
    </row>
    <row r="958" spans="6:6" ht="12" customHeight="1" x14ac:dyDescent="0.3">
      <c r="F958" s="118"/>
    </row>
    <row r="959" spans="6:6" ht="12" customHeight="1" x14ac:dyDescent="0.3">
      <c r="F959" s="118"/>
    </row>
    <row r="960" spans="6:6" ht="12" customHeight="1" x14ac:dyDescent="0.3">
      <c r="F960" s="118"/>
    </row>
    <row r="961" spans="6:6" ht="12" customHeight="1" x14ac:dyDescent="0.3">
      <c r="F961" s="118"/>
    </row>
    <row r="962" spans="6:6" ht="12" customHeight="1" x14ac:dyDescent="0.3">
      <c r="F962" s="118"/>
    </row>
    <row r="963" spans="6:6" ht="12" customHeight="1" x14ac:dyDescent="0.3">
      <c r="F963" s="118"/>
    </row>
    <row r="964" spans="6:6" ht="12" customHeight="1" x14ac:dyDescent="0.3">
      <c r="F964" s="118"/>
    </row>
    <row r="965" spans="6:6" ht="12" customHeight="1" x14ac:dyDescent="0.3">
      <c r="F965" s="118"/>
    </row>
    <row r="966" spans="6:6" ht="12" customHeight="1" x14ac:dyDescent="0.3">
      <c r="F966" s="118"/>
    </row>
    <row r="967" spans="6:6" ht="12" customHeight="1" x14ac:dyDescent="0.3">
      <c r="F967" s="118"/>
    </row>
    <row r="968" spans="6:6" ht="12" customHeight="1" x14ac:dyDescent="0.3">
      <c r="F968" s="118"/>
    </row>
    <row r="969" spans="6:6" ht="12" customHeight="1" x14ac:dyDescent="0.3">
      <c r="F969" s="118"/>
    </row>
    <row r="970" spans="6:6" ht="12" customHeight="1" x14ac:dyDescent="0.3">
      <c r="F970" s="118"/>
    </row>
    <row r="971" spans="6:6" ht="12" customHeight="1" x14ac:dyDescent="0.3">
      <c r="F971" s="118"/>
    </row>
    <row r="972" spans="6:6" ht="12" customHeight="1" x14ac:dyDescent="0.3">
      <c r="F972" s="118"/>
    </row>
    <row r="973" spans="6:6" ht="12" customHeight="1" x14ac:dyDescent="0.3">
      <c r="F973" s="118"/>
    </row>
    <row r="974" spans="6:6" ht="12" customHeight="1" x14ac:dyDescent="0.3">
      <c r="F974" s="118"/>
    </row>
    <row r="975" spans="6:6" ht="12" customHeight="1" x14ac:dyDescent="0.3">
      <c r="F975" s="118"/>
    </row>
    <row r="976" spans="6:6" ht="12" customHeight="1" x14ac:dyDescent="0.3">
      <c r="F976" s="118"/>
    </row>
    <row r="977" spans="6:6" ht="12" customHeight="1" x14ac:dyDescent="0.3">
      <c r="F977" s="118"/>
    </row>
    <row r="978" spans="6:6" ht="12" customHeight="1" x14ac:dyDescent="0.3">
      <c r="F978" s="118"/>
    </row>
    <row r="979" spans="6:6" ht="12" customHeight="1" x14ac:dyDescent="0.3">
      <c r="F979" s="118"/>
    </row>
    <row r="980" spans="6:6" ht="12" customHeight="1" x14ac:dyDescent="0.3">
      <c r="F980" s="118"/>
    </row>
    <row r="981" spans="6:6" ht="12" customHeight="1" x14ac:dyDescent="0.3">
      <c r="F981" s="118"/>
    </row>
    <row r="982" spans="6:6" ht="12" customHeight="1" x14ac:dyDescent="0.3">
      <c r="F982" s="118"/>
    </row>
    <row r="983" spans="6:6" ht="12" customHeight="1" x14ac:dyDescent="0.3">
      <c r="F983" s="118"/>
    </row>
    <row r="984" spans="6:6" ht="12" customHeight="1" x14ac:dyDescent="0.3">
      <c r="F984" s="118"/>
    </row>
    <row r="985" spans="6:6" ht="12" customHeight="1" x14ac:dyDescent="0.3">
      <c r="F985" s="118"/>
    </row>
    <row r="986" spans="6:6" ht="12" customHeight="1" x14ac:dyDescent="0.3">
      <c r="F986" s="118"/>
    </row>
    <row r="987" spans="6:6" ht="12" customHeight="1" x14ac:dyDescent="0.3">
      <c r="F987" s="118"/>
    </row>
    <row r="988" spans="6:6" ht="12" customHeight="1" x14ac:dyDescent="0.3">
      <c r="F988" s="118"/>
    </row>
    <row r="989" spans="6:6" ht="12" customHeight="1" x14ac:dyDescent="0.3">
      <c r="F989" s="118"/>
    </row>
    <row r="990" spans="6:6" ht="12" customHeight="1" x14ac:dyDescent="0.3">
      <c r="F990" s="118"/>
    </row>
    <row r="991" spans="6:6" ht="12" customHeight="1" x14ac:dyDescent="0.3">
      <c r="F991" s="118"/>
    </row>
    <row r="992" spans="6:6" ht="12" customHeight="1" x14ac:dyDescent="0.3">
      <c r="F992" s="118"/>
    </row>
    <row r="993" spans="6:6" ht="12" customHeight="1" x14ac:dyDescent="0.3">
      <c r="F993" s="118"/>
    </row>
    <row r="994" spans="6:6" ht="12" customHeight="1" x14ac:dyDescent="0.3">
      <c r="F994" s="118"/>
    </row>
    <row r="995" spans="6:6" ht="12" customHeight="1" x14ac:dyDescent="0.3">
      <c r="F995" s="118"/>
    </row>
    <row r="996" spans="6:6" ht="12" customHeight="1" x14ac:dyDescent="0.3">
      <c r="F996" s="118"/>
    </row>
    <row r="997" spans="6:6" ht="12" customHeight="1" x14ac:dyDescent="0.3">
      <c r="F997" s="118"/>
    </row>
    <row r="998" spans="6:6" ht="12" customHeight="1" x14ac:dyDescent="0.3">
      <c r="F998" s="118"/>
    </row>
    <row r="999" spans="6:6" ht="12" customHeight="1" x14ac:dyDescent="0.3">
      <c r="F999" s="118"/>
    </row>
    <row r="1000" spans="6:6" ht="12" customHeight="1" x14ac:dyDescent="0.3">
      <c r="F1000" s="118"/>
    </row>
  </sheetData>
  <mergeCells count="1">
    <mergeCell ref="A1:B1"/>
  </mergeCells>
  <pageMargins left="0.7" right="0.7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baseColWidth="10" defaultColWidth="14.3984375" defaultRowHeight="15" customHeight="1" x14ac:dyDescent="0.3"/>
  <cols>
    <col min="1" max="1" width="44" customWidth="1"/>
    <col min="2" max="2" width="38.59765625" customWidth="1"/>
    <col min="3" max="13" width="10" customWidth="1"/>
    <col min="14" max="14" width="114.09765625" customWidth="1"/>
    <col min="15" max="15" width="10" customWidth="1"/>
    <col min="16" max="26" width="17.296875" customWidth="1"/>
  </cols>
  <sheetData>
    <row r="1" spans="1:14" ht="12.75" customHeight="1" x14ac:dyDescent="0.3">
      <c r="A1" s="828" t="s">
        <v>629</v>
      </c>
      <c r="B1" s="828" t="s">
        <v>630</v>
      </c>
      <c r="C1" s="828">
        <v>2014</v>
      </c>
      <c r="D1" s="828"/>
      <c r="E1" s="828">
        <v>2015</v>
      </c>
      <c r="F1" s="828"/>
      <c r="G1" s="828">
        <v>2016</v>
      </c>
      <c r="H1" s="829"/>
      <c r="I1" s="830">
        <v>2017</v>
      </c>
      <c r="J1" s="831"/>
      <c r="K1" s="832"/>
      <c r="L1" s="828">
        <v>2018</v>
      </c>
      <c r="M1" s="828">
        <v>2019</v>
      </c>
      <c r="N1" s="828" t="s">
        <v>631</v>
      </c>
    </row>
    <row r="2" spans="1:14" ht="12.75" customHeight="1" x14ac:dyDescent="0.3">
      <c r="A2" s="833" t="s">
        <v>398</v>
      </c>
      <c r="B2" s="833" t="s">
        <v>632</v>
      </c>
      <c r="C2" s="834">
        <v>11.59</v>
      </c>
      <c r="D2" s="834">
        <f>E2-C2</f>
        <v>0.32000000000000028</v>
      </c>
      <c r="E2" s="834">
        <v>11.91</v>
      </c>
      <c r="F2" s="834"/>
      <c r="G2" s="834">
        <v>11.91</v>
      </c>
      <c r="H2" s="835"/>
      <c r="I2" s="836"/>
      <c r="J2" s="837"/>
      <c r="K2" s="838"/>
      <c r="L2" s="834">
        <v>12.45</v>
      </c>
      <c r="M2" s="834"/>
      <c r="N2" s="834" t="s">
        <v>633</v>
      </c>
    </row>
    <row r="3" spans="1:14" ht="15" customHeight="1" x14ac:dyDescent="0.35">
      <c r="A3" s="833" t="s">
        <v>634</v>
      </c>
      <c r="B3" s="839" t="s">
        <v>635</v>
      </c>
      <c r="C3" s="834"/>
      <c r="D3" s="834"/>
      <c r="E3" s="834"/>
      <c r="F3" s="834"/>
      <c r="G3" s="834">
        <v>22</v>
      </c>
      <c r="H3" s="835"/>
      <c r="I3" s="836"/>
      <c r="J3" s="837"/>
      <c r="K3" s="838"/>
      <c r="L3" s="834">
        <v>22</v>
      </c>
      <c r="M3" s="834"/>
      <c r="N3" s="834"/>
    </row>
    <row r="4" spans="1:14" ht="15" customHeight="1" x14ac:dyDescent="0.35">
      <c r="A4" s="833" t="s">
        <v>634</v>
      </c>
      <c r="B4" s="839" t="s">
        <v>636</v>
      </c>
      <c r="C4" s="834"/>
      <c r="D4" s="834"/>
      <c r="E4" s="834"/>
      <c r="F4" s="834"/>
      <c r="G4" s="834">
        <v>18</v>
      </c>
      <c r="H4" s="835"/>
      <c r="I4" s="836"/>
      <c r="J4" s="837"/>
      <c r="K4" s="838"/>
      <c r="L4" s="834">
        <v>18</v>
      </c>
      <c r="M4" s="834"/>
      <c r="N4" s="834"/>
    </row>
    <row r="5" spans="1:14" ht="12.75" customHeight="1" x14ac:dyDescent="0.3">
      <c r="A5" s="833" t="s">
        <v>637</v>
      </c>
      <c r="B5" s="833" t="s">
        <v>638</v>
      </c>
      <c r="C5" s="834">
        <v>6.3</v>
      </c>
      <c r="D5" s="834">
        <f t="shared" ref="D5:D6" si="0">E5-C5</f>
        <v>0.20000000000000018</v>
      </c>
      <c r="E5" s="834">
        <v>6.5</v>
      </c>
      <c r="F5" s="834"/>
      <c r="G5" s="834">
        <v>6.5</v>
      </c>
      <c r="H5" s="835"/>
      <c r="I5" s="836"/>
      <c r="J5" s="837"/>
      <c r="K5" s="838"/>
      <c r="L5" s="834">
        <v>6.7</v>
      </c>
      <c r="M5" s="834"/>
      <c r="N5" s="834" t="s">
        <v>639</v>
      </c>
    </row>
    <row r="6" spans="1:14" ht="12.75" customHeight="1" x14ac:dyDescent="0.3">
      <c r="A6" s="833" t="s">
        <v>640</v>
      </c>
      <c r="B6" s="833" t="s">
        <v>641</v>
      </c>
      <c r="C6" s="834">
        <v>95.6</v>
      </c>
      <c r="D6" s="834">
        <f t="shared" si="0"/>
        <v>2.8700000000000045</v>
      </c>
      <c r="E6" s="834">
        <v>98.47</v>
      </c>
      <c r="F6" s="834"/>
      <c r="G6" s="834">
        <v>98.47</v>
      </c>
      <c r="H6" s="835"/>
      <c r="I6" s="836"/>
      <c r="J6" s="837"/>
      <c r="K6" s="838"/>
      <c r="L6" s="834">
        <f>G6+D6</f>
        <v>101.34</v>
      </c>
      <c r="M6" s="834"/>
      <c r="N6" s="834" t="s">
        <v>639</v>
      </c>
    </row>
    <row r="7" spans="1:14" ht="12.75" customHeight="1" x14ac:dyDescent="0.3">
      <c r="A7" s="833" t="s">
        <v>642</v>
      </c>
      <c r="B7" s="833" t="s">
        <v>643</v>
      </c>
      <c r="C7" s="834">
        <v>120</v>
      </c>
      <c r="D7" s="834"/>
      <c r="E7" s="834">
        <v>120</v>
      </c>
      <c r="F7" s="834"/>
      <c r="G7" s="834">
        <v>80</v>
      </c>
      <c r="H7" s="835"/>
      <c r="I7" s="836"/>
      <c r="J7" s="837"/>
      <c r="K7" s="838"/>
      <c r="L7" s="834">
        <v>80</v>
      </c>
      <c r="M7" s="834"/>
      <c r="N7" s="834"/>
    </row>
    <row r="8" spans="1:14" ht="12.75" customHeight="1" x14ac:dyDescent="0.3">
      <c r="A8" s="833" t="s">
        <v>644</v>
      </c>
      <c r="B8" s="833" t="s">
        <v>645</v>
      </c>
      <c r="C8" s="834">
        <v>100</v>
      </c>
      <c r="D8" s="834"/>
      <c r="E8" s="834">
        <v>100</v>
      </c>
      <c r="F8" s="834"/>
      <c r="G8" s="834">
        <v>100</v>
      </c>
      <c r="H8" s="835"/>
      <c r="I8" s="836"/>
      <c r="J8" s="837"/>
      <c r="K8" s="838"/>
      <c r="L8" s="834">
        <v>100</v>
      </c>
      <c r="M8" s="834"/>
      <c r="N8" s="834"/>
    </row>
    <row r="9" spans="1:14" ht="12.75" customHeight="1" x14ac:dyDescent="0.3">
      <c r="A9" s="833" t="s">
        <v>646</v>
      </c>
      <c r="B9" s="833" t="s">
        <v>647</v>
      </c>
      <c r="C9" s="834">
        <v>50</v>
      </c>
      <c r="D9" s="834"/>
      <c r="E9" s="834">
        <v>50</v>
      </c>
      <c r="F9" s="834"/>
      <c r="G9" s="834">
        <v>50</v>
      </c>
      <c r="H9" s="835"/>
      <c r="I9" s="836"/>
      <c r="J9" s="837"/>
      <c r="K9" s="838"/>
      <c r="L9" s="834">
        <v>50</v>
      </c>
      <c r="M9" s="834"/>
      <c r="N9" s="834"/>
    </row>
    <row r="10" spans="1:14" ht="12.75" customHeight="1" x14ac:dyDescent="0.3">
      <c r="A10" s="833" t="s">
        <v>648</v>
      </c>
      <c r="B10" s="834"/>
      <c r="C10" s="834">
        <v>10.4</v>
      </c>
      <c r="D10" s="834"/>
      <c r="E10" s="834">
        <v>12.3</v>
      </c>
      <c r="F10" s="834"/>
      <c r="G10" s="834">
        <v>11.7</v>
      </c>
      <c r="H10" s="835"/>
      <c r="I10" s="836"/>
      <c r="J10" s="837"/>
      <c r="K10" s="838"/>
      <c r="L10" s="840">
        <f>(C10+E10+G10)/3</f>
        <v>11.466666666666669</v>
      </c>
      <c r="M10" s="840"/>
      <c r="N10" s="834"/>
    </row>
    <row r="11" spans="1:14" ht="12.75" customHeight="1" x14ac:dyDescent="0.3">
      <c r="A11" s="841" t="s">
        <v>649</v>
      </c>
      <c r="B11" s="842">
        <v>1.05</v>
      </c>
      <c r="C11" s="118"/>
      <c r="D11" s="118"/>
      <c r="E11" s="118"/>
      <c r="F11" s="118"/>
      <c r="G11" s="118"/>
      <c r="H11" s="118"/>
      <c r="I11" s="843"/>
      <c r="J11" s="844"/>
      <c r="K11" s="118"/>
      <c r="L11" s="118"/>
      <c r="M11" s="118"/>
      <c r="N11" s="841"/>
    </row>
    <row r="12" spans="1:14" ht="12.75" customHeight="1" x14ac:dyDescent="0.3">
      <c r="A12" s="841"/>
      <c r="B12" s="841"/>
      <c r="C12" s="118"/>
      <c r="D12" s="118"/>
      <c r="E12" s="118"/>
      <c r="F12" s="118"/>
      <c r="G12" s="118"/>
      <c r="H12" s="841" t="s">
        <v>650</v>
      </c>
      <c r="I12" s="845"/>
      <c r="J12" s="846"/>
      <c r="K12" s="841"/>
      <c r="L12" s="118"/>
      <c r="M12" s="118"/>
      <c r="N12" s="841"/>
    </row>
    <row r="13" spans="1:14" ht="12.75" customHeight="1" x14ac:dyDescent="0.3">
      <c r="A13" s="833" t="s">
        <v>12</v>
      </c>
      <c r="B13" s="833" t="s">
        <v>651</v>
      </c>
      <c r="C13" s="834">
        <v>150</v>
      </c>
      <c r="D13" s="834"/>
      <c r="E13" s="834">
        <v>150</v>
      </c>
      <c r="F13" s="834"/>
      <c r="G13" s="847">
        <v>600</v>
      </c>
      <c r="H13" s="835">
        <f t="shared" ref="H13:H25" si="1">G13*$B$11</f>
        <v>630</v>
      </c>
      <c r="I13" s="836"/>
      <c r="J13" s="837"/>
      <c r="K13" s="838"/>
      <c r="L13" s="834">
        <f t="shared" ref="L13:L14" si="2">G13*$B$11</f>
        <v>630</v>
      </c>
      <c r="M13" s="834"/>
      <c r="N13" s="848" t="s">
        <v>652</v>
      </c>
    </row>
    <row r="14" spans="1:14" ht="12.75" customHeight="1" x14ac:dyDescent="0.3">
      <c r="A14" s="833" t="s">
        <v>653</v>
      </c>
      <c r="B14" s="833" t="s">
        <v>651</v>
      </c>
      <c r="C14" s="834">
        <v>100</v>
      </c>
      <c r="D14" s="834"/>
      <c r="E14" s="834">
        <v>100</v>
      </c>
      <c r="F14" s="834"/>
      <c r="G14" s="847">
        <v>0</v>
      </c>
      <c r="H14" s="835">
        <f t="shared" si="1"/>
        <v>0</v>
      </c>
      <c r="I14" s="836"/>
      <c r="J14" s="837"/>
      <c r="K14" s="838"/>
      <c r="L14" s="834">
        <f t="shared" si="2"/>
        <v>0</v>
      </c>
      <c r="M14" s="834"/>
      <c r="N14" s="834" t="s">
        <v>654</v>
      </c>
    </row>
    <row r="15" spans="1:14" ht="12.75" customHeight="1" x14ac:dyDescent="0.3">
      <c r="A15" s="833" t="s">
        <v>655</v>
      </c>
      <c r="B15" s="833" t="s">
        <v>651</v>
      </c>
      <c r="C15" s="834">
        <v>500</v>
      </c>
      <c r="D15" s="834"/>
      <c r="E15" s="834">
        <v>500</v>
      </c>
      <c r="F15" s="834"/>
      <c r="G15" s="847">
        <v>600</v>
      </c>
      <c r="H15" s="835">
        <f t="shared" si="1"/>
        <v>630</v>
      </c>
      <c r="I15" s="836"/>
      <c r="J15" s="837"/>
      <c r="K15" s="838"/>
      <c r="L15" s="834">
        <v>500</v>
      </c>
      <c r="M15" s="834"/>
      <c r="N15" s="848" t="s">
        <v>656</v>
      </c>
    </row>
    <row r="16" spans="1:14" ht="12.75" customHeight="1" x14ac:dyDescent="0.3">
      <c r="A16" s="833" t="s">
        <v>657</v>
      </c>
      <c r="B16" s="833" t="s">
        <v>658</v>
      </c>
      <c r="C16" s="834">
        <v>300</v>
      </c>
      <c r="D16" s="834"/>
      <c r="E16" s="834">
        <v>550</v>
      </c>
      <c r="F16" s="834"/>
      <c r="G16" s="847">
        <v>550</v>
      </c>
      <c r="H16" s="835">
        <f t="shared" si="1"/>
        <v>577.5</v>
      </c>
      <c r="I16" s="836"/>
      <c r="J16" s="837"/>
      <c r="K16" s="838"/>
      <c r="L16" s="834">
        <v>580</v>
      </c>
      <c r="M16" s="834"/>
      <c r="N16" s="834" t="s">
        <v>659</v>
      </c>
    </row>
    <row r="17" spans="1:15" ht="12.75" customHeight="1" x14ac:dyDescent="0.3">
      <c r="A17" s="833" t="s">
        <v>660</v>
      </c>
      <c r="B17" s="833" t="s">
        <v>661</v>
      </c>
      <c r="C17" s="834">
        <v>600</v>
      </c>
      <c r="D17" s="834"/>
      <c r="E17" s="834">
        <v>700</v>
      </c>
      <c r="F17" s="834"/>
      <c r="G17" s="847">
        <v>700</v>
      </c>
      <c r="H17" s="835">
        <f t="shared" si="1"/>
        <v>735</v>
      </c>
      <c r="I17" s="836"/>
      <c r="J17" s="837"/>
      <c r="K17" s="838"/>
      <c r="L17" s="834">
        <f>G17*$B$11</f>
        <v>735</v>
      </c>
      <c r="M17" s="834"/>
      <c r="N17" s="834"/>
      <c r="O17" s="118"/>
    </row>
    <row r="18" spans="1:15" ht="12.75" customHeight="1" x14ac:dyDescent="0.3">
      <c r="A18" s="833" t="s">
        <v>662</v>
      </c>
      <c r="B18" s="833" t="s">
        <v>658</v>
      </c>
      <c r="C18" s="834">
        <v>300</v>
      </c>
      <c r="D18" s="834"/>
      <c r="E18" s="834">
        <v>550</v>
      </c>
      <c r="F18" s="834"/>
      <c r="G18" s="847">
        <v>550</v>
      </c>
      <c r="H18" s="835">
        <f t="shared" si="1"/>
        <v>577.5</v>
      </c>
      <c r="I18" s="836"/>
      <c r="J18" s="837"/>
      <c r="K18" s="838"/>
      <c r="L18" s="834">
        <v>750</v>
      </c>
      <c r="M18" s="834"/>
      <c r="N18" s="848" t="s">
        <v>663</v>
      </c>
      <c r="O18" s="118"/>
    </row>
    <row r="19" spans="1:15" ht="12.75" customHeight="1" x14ac:dyDescent="0.3">
      <c r="A19" s="833" t="s">
        <v>664</v>
      </c>
      <c r="B19" s="833" t="s">
        <v>658</v>
      </c>
      <c r="C19" s="834">
        <v>600</v>
      </c>
      <c r="D19" s="834"/>
      <c r="E19" s="834">
        <v>750</v>
      </c>
      <c r="F19" s="834"/>
      <c r="G19" s="847">
        <v>750</v>
      </c>
      <c r="H19" s="835">
        <f t="shared" si="1"/>
        <v>787.5</v>
      </c>
      <c r="I19" s="836"/>
      <c r="J19" s="837"/>
      <c r="K19" s="838"/>
      <c r="L19" s="834">
        <v>790</v>
      </c>
      <c r="M19" s="834"/>
      <c r="N19" s="834"/>
      <c r="O19" s="118"/>
    </row>
    <row r="20" spans="1:15" ht="25.5" customHeight="1" x14ac:dyDescent="0.3">
      <c r="A20" s="833" t="s">
        <v>665</v>
      </c>
      <c r="B20" s="833" t="s">
        <v>658</v>
      </c>
      <c r="C20" s="834">
        <v>300</v>
      </c>
      <c r="D20" s="834"/>
      <c r="E20" s="834">
        <v>550</v>
      </c>
      <c r="F20" s="834"/>
      <c r="G20" s="847">
        <v>350</v>
      </c>
      <c r="H20" s="835">
        <f t="shared" si="1"/>
        <v>367.5</v>
      </c>
      <c r="I20" s="836"/>
      <c r="J20" s="837"/>
      <c r="K20" s="838"/>
      <c r="L20" s="834">
        <v>580</v>
      </c>
      <c r="M20" s="834"/>
      <c r="N20" s="849" t="s">
        <v>666</v>
      </c>
      <c r="O20" s="118"/>
    </row>
    <row r="21" spans="1:15" ht="12.75" customHeight="1" x14ac:dyDescent="0.3">
      <c r="A21" s="833" t="s">
        <v>667</v>
      </c>
      <c r="B21" s="833" t="s">
        <v>658</v>
      </c>
      <c r="C21" s="834">
        <v>300</v>
      </c>
      <c r="D21" s="834"/>
      <c r="E21" s="834">
        <v>550</v>
      </c>
      <c r="F21" s="834"/>
      <c r="G21" s="847">
        <v>550</v>
      </c>
      <c r="H21" s="835">
        <f t="shared" si="1"/>
        <v>577.5</v>
      </c>
      <c r="I21" s="836"/>
      <c r="J21" s="837"/>
      <c r="K21" s="838"/>
      <c r="L21" s="834">
        <v>580</v>
      </c>
      <c r="M21" s="834"/>
      <c r="N21" s="834"/>
      <c r="O21" s="118"/>
    </row>
    <row r="22" spans="1:15" ht="12.75" customHeight="1" x14ac:dyDescent="0.3">
      <c r="A22" s="833" t="s">
        <v>668</v>
      </c>
      <c r="B22" s="833" t="s">
        <v>658</v>
      </c>
      <c r="C22" s="834">
        <v>600</v>
      </c>
      <c r="D22" s="834"/>
      <c r="E22" s="834">
        <v>750</v>
      </c>
      <c r="F22" s="834"/>
      <c r="G22" s="847">
        <v>800</v>
      </c>
      <c r="H22" s="835">
        <f t="shared" si="1"/>
        <v>840</v>
      </c>
      <c r="I22" s="836"/>
      <c r="J22" s="837"/>
      <c r="K22" s="838"/>
      <c r="L22" s="834">
        <f t="shared" ref="L22:L24" si="3">G22*$B$11</f>
        <v>840</v>
      </c>
      <c r="M22" s="834"/>
      <c r="N22" s="834"/>
      <c r="O22" s="118"/>
    </row>
    <row r="23" spans="1:15" ht="12.75" customHeight="1" x14ac:dyDescent="0.3">
      <c r="A23" s="850" t="s">
        <v>669</v>
      </c>
      <c r="B23" s="833"/>
      <c r="C23" s="834"/>
      <c r="D23" s="834"/>
      <c r="E23" s="834"/>
      <c r="F23" s="834"/>
      <c r="G23" s="851">
        <v>500</v>
      </c>
      <c r="H23" s="835">
        <f t="shared" si="1"/>
        <v>525</v>
      </c>
      <c r="I23" s="836"/>
      <c r="J23" s="837"/>
      <c r="K23" s="838"/>
      <c r="L23" s="834">
        <f t="shared" si="3"/>
        <v>525</v>
      </c>
      <c r="M23" s="834"/>
      <c r="N23" s="834"/>
      <c r="O23" s="118"/>
    </row>
    <row r="24" spans="1:15" ht="12.75" customHeight="1" x14ac:dyDescent="0.3">
      <c r="A24" s="833" t="s">
        <v>670</v>
      </c>
      <c r="B24" s="833" t="s">
        <v>658</v>
      </c>
      <c r="C24" s="834">
        <v>600</v>
      </c>
      <c r="D24" s="834"/>
      <c r="E24" s="834">
        <v>750</v>
      </c>
      <c r="F24" s="834"/>
      <c r="G24" s="847">
        <v>800</v>
      </c>
      <c r="H24" s="835">
        <f t="shared" si="1"/>
        <v>840</v>
      </c>
      <c r="I24" s="836"/>
      <c r="J24" s="837"/>
      <c r="K24" s="838"/>
      <c r="L24" s="834">
        <f t="shared" si="3"/>
        <v>840</v>
      </c>
      <c r="M24" s="834"/>
      <c r="N24" s="834"/>
      <c r="O24" s="118"/>
    </row>
    <row r="25" spans="1:15" ht="12.75" customHeight="1" x14ac:dyDescent="0.3">
      <c r="A25" s="833" t="s">
        <v>671</v>
      </c>
      <c r="B25" s="833" t="s">
        <v>658</v>
      </c>
      <c r="C25" s="834">
        <v>1500</v>
      </c>
      <c r="D25" s="834"/>
      <c r="E25" s="834">
        <v>1750</v>
      </c>
      <c r="F25" s="834"/>
      <c r="G25" s="847">
        <v>2000</v>
      </c>
      <c r="H25" s="835">
        <f t="shared" si="1"/>
        <v>2100</v>
      </c>
      <c r="I25" s="836"/>
      <c r="J25" s="837"/>
      <c r="K25" s="838"/>
      <c r="L25" s="851">
        <f>G25+700</f>
        <v>2700</v>
      </c>
      <c r="M25" s="851"/>
      <c r="N25" s="848" t="s">
        <v>672</v>
      </c>
      <c r="O25" s="118"/>
    </row>
    <row r="26" spans="1:15" ht="12.75" customHeight="1" x14ac:dyDescent="0.3">
      <c r="A26" s="852"/>
      <c r="B26" s="841"/>
      <c r="C26" s="118"/>
      <c r="D26" s="118"/>
      <c r="E26" s="118"/>
      <c r="F26" s="118"/>
      <c r="G26" s="841"/>
      <c r="H26" s="118"/>
      <c r="I26" s="843"/>
      <c r="J26" s="844"/>
      <c r="K26" s="118"/>
      <c r="L26" s="118"/>
      <c r="M26" s="118"/>
      <c r="N26" s="841" t="s">
        <v>673</v>
      </c>
      <c r="O26" s="118"/>
    </row>
    <row r="27" spans="1:15" ht="13.5" customHeight="1" x14ac:dyDescent="0.3">
      <c r="A27" s="841" t="s">
        <v>674</v>
      </c>
      <c r="B27" s="841"/>
      <c r="C27" s="118"/>
      <c r="D27" s="118"/>
      <c r="E27" s="118"/>
      <c r="F27" s="118"/>
      <c r="G27" s="118"/>
      <c r="H27" s="118"/>
      <c r="I27" s="843"/>
      <c r="J27" s="844"/>
      <c r="K27" s="118"/>
      <c r="L27" s="118"/>
      <c r="M27" s="118"/>
      <c r="N27" s="841">
        <f>24804/17</f>
        <v>1459.0588235294117</v>
      </c>
      <c r="O27" s="118"/>
    </row>
    <row r="28" spans="1:15" ht="12.75" customHeight="1" x14ac:dyDescent="0.3">
      <c r="A28" s="841"/>
      <c r="B28" s="841"/>
      <c r="C28" s="118"/>
      <c r="D28" s="853">
        <v>2016</v>
      </c>
      <c r="E28" s="854" t="s">
        <v>304</v>
      </c>
      <c r="F28" s="854" t="s">
        <v>675</v>
      </c>
      <c r="G28" s="854">
        <v>1443.92</v>
      </c>
      <c r="H28" s="855">
        <v>716.33</v>
      </c>
      <c r="I28" s="856"/>
      <c r="J28" s="857"/>
      <c r="K28" s="858"/>
      <c r="L28" s="855">
        <v>727.59</v>
      </c>
      <c r="M28" s="858"/>
      <c r="N28" s="859">
        <f t="shared" ref="N28:N30" si="4">L28/G28</f>
        <v>0.50389910798382187</v>
      </c>
      <c r="O28" s="118"/>
    </row>
    <row r="29" spans="1:15" ht="12.75" customHeight="1" x14ac:dyDescent="0.3">
      <c r="A29" s="841"/>
      <c r="B29" s="841"/>
      <c r="C29" s="118"/>
      <c r="D29" s="836"/>
      <c r="E29" s="834"/>
      <c r="F29" s="834" t="s">
        <v>530</v>
      </c>
      <c r="G29" s="834">
        <v>355.48</v>
      </c>
      <c r="H29" s="835">
        <v>173.58</v>
      </c>
      <c r="I29" s="860"/>
      <c r="J29" s="837"/>
      <c r="K29" s="861"/>
      <c r="L29" s="835">
        <v>181.9</v>
      </c>
      <c r="M29" s="861"/>
      <c r="N29" s="862">
        <f t="shared" si="4"/>
        <v>0.51170248677844044</v>
      </c>
      <c r="O29" s="118"/>
    </row>
    <row r="30" spans="1:15" ht="13.5" customHeight="1" x14ac:dyDescent="0.3">
      <c r="A30" s="841"/>
      <c r="B30" s="841"/>
      <c r="C30" s="118"/>
      <c r="D30" s="836"/>
      <c r="E30" s="834" t="s">
        <v>377</v>
      </c>
      <c r="F30" s="834" t="s">
        <v>675</v>
      </c>
      <c r="G30" s="834">
        <v>1205.72</v>
      </c>
      <c r="H30" s="835">
        <v>608.05999999999995</v>
      </c>
      <c r="I30" s="860"/>
      <c r="J30" s="837"/>
      <c r="K30" s="861"/>
      <c r="L30" s="835">
        <v>597.66</v>
      </c>
      <c r="M30" s="863"/>
      <c r="N30" s="864">
        <f t="shared" si="4"/>
        <v>0.49568722423116474</v>
      </c>
      <c r="O30" s="841">
        <f>SUM(N28:N30)/3</f>
        <v>0.50376293966447572</v>
      </c>
    </row>
    <row r="31" spans="1:15" ht="13.5" customHeight="1" x14ac:dyDescent="0.3">
      <c r="A31" s="841"/>
      <c r="B31" s="841"/>
      <c r="C31" s="118"/>
      <c r="D31" s="865"/>
      <c r="E31" s="866"/>
      <c r="F31" s="866"/>
      <c r="G31" s="866"/>
      <c r="H31" s="867"/>
      <c r="I31" s="868"/>
      <c r="J31" s="869"/>
      <c r="K31" s="870"/>
      <c r="L31" s="867"/>
      <c r="M31" s="841"/>
      <c r="N31" s="871" t="s">
        <v>676</v>
      </c>
      <c r="O31" s="118"/>
    </row>
    <row r="32" spans="1:15" ht="12.75" customHeight="1" x14ac:dyDescent="0.3">
      <c r="A32" s="841"/>
      <c r="B32" s="841"/>
      <c r="C32" s="118"/>
      <c r="D32" s="853">
        <v>2015</v>
      </c>
      <c r="E32" s="854" t="s">
        <v>304</v>
      </c>
      <c r="F32" s="854" t="s">
        <v>675</v>
      </c>
      <c r="G32" s="854">
        <v>1333.92</v>
      </c>
      <c r="H32" s="855">
        <v>606.33000000000004</v>
      </c>
      <c r="I32" s="856"/>
      <c r="J32" s="857"/>
      <c r="K32" s="858"/>
      <c r="L32" s="855">
        <v>727.59</v>
      </c>
      <c r="M32" s="858"/>
      <c r="N32" s="859">
        <f t="shared" ref="N32:N37" si="5">L32/G32</f>
        <v>0.54545250089960418</v>
      </c>
      <c r="O32" s="118"/>
    </row>
    <row r="33" spans="1:14" ht="12.75" customHeight="1" x14ac:dyDescent="0.3">
      <c r="A33" s="841"/>
      <c r="B33" s="841"/>
      <c r="C33" s="118"/>
      <c r="D33" s="836"/>
      <c r="E33" s="834"/>
      <c r="F33" s="834" t="s">
        <v>530</v>
      </c>
      <c r="G33" s="834">
        <v>333.48</v>
      </c>
      <c r="H33" s="835">
        <v>151.58000000000001</v>
      </c>
      <c r="I33" s="860"/>
      <c r="J33" s="837"/>
      <c r="K33" s="861"/>
      <c r="L33" s="835">
        <v>181.9</v>
      </c>
      <c r="M33" s="861"/>
      <c r="N33" s="862">
        <f t="shared" si="5"/>
        <v>0.54545999760105557</v>
      </c>
    </row>
    <row r="34" spans="1:14" ht="13.5" customHeight="1" x14ac:dyDescent="0.3">
      <c r="A34" s="841"/>
      <c r="B34" s="841"/>
      <c r="C34" s="118"/>
      <c r="D34" s="865"/>
      <c r="E34" s="866" t="s">
        <v>377</v>
      </c>
      <c r="F34" s="866" t="s">
        <v>675</v>
      </c>
      <c r="G34" s="866">
        <v>1095.72</v>
      </c>
      <c r="H34" s="867">
        <v>498.06</v>
      </c>
      <c r="I34" s="868"/>
      <c r="J34" s="869"/>
      <c r="K34" s="870"/>
      <c r="L34" s="867">
        <v>597.66</v>
      </c>
      <c r="M34" s="870"/>
      <c r="N34" s="864">
        <f t="shared" si="5"/>
        <v>0.54544956740773187</v>
      </c>
    </row>
    <row r="35" spans="1:14" ht="12.75" customHeight="1" x14ac:dyDescent="0.3">
      <c r="A35" s="841"/>
      <c r="B35" s="841"/>
      <c r="C35" s="118"/>
      <c r="D35" s="853">
        <v>2014</v>
      </c>
      <c r="E35" s="854" t="s">
        <v>304</v>
      </c>
      <c r="F35" s="854" t="s">
        <v>675</v>
      </c>
      <c r="G35" s="854">
        <v>1294.72</v>
      </c>
      <c r="H35" s="855">
        <v>588.51</v>
      </c>
      <c r="I35" s="856"/>
      <c r="J35" s="857"/>
      <c r="K35" s="858"/>
      <c r="L35" s="855">
        <v>706.21</v>
      </c>
      <c r="M35" s="872"/>
      <c r="N35" s="873">
        <f t="shared" si="5"/>
        <v>0.54545384330202673</v>
      </c>
    </row>
    <row r="36" spans="1:14" ht="12.75" customHeight="1" x14ac:dyDescent="0.3">
      <c r="A36" s="841"/>
      <c r="B36" s="841"/>
      <c r="C36" s="118"/>
      <c r="D36" s="836"/>
      <c r="E36" s="834"/>
      <c r="F36" s="834" t="s">
        <v>530</v>
      </c>
      <c r="G36" s="834">
        <v>323.68</v>
      </c>
      <c r="H36" s="835">
        <v>147.13</v>
      </c>
      <c r="I36" s="860"/>
      <c r="J36" s="837"/>
      <c r="K36" s="861"/>
      <c r="L36" s="835">
        <v>176.55</v>
      </c>
      <c r="M36" s="861"/>
      <c r="N36" s="862">
        <f t="shared" si="5"/>
        <v>0.54544611962432032</v>
      </c>
    </row>
    <row r="37" spans="1:14" ht="13.5" customHeight="1" x14ac:dyDescent="0.3">
      <c r="A37" s="841"/>
      <c r="B37" s="841"/>
      <c r="C37" s="118"/>
      <c r="D37" s="865"/>
      <c r="E37" s="866" t="s">
        <v>377</v>
      </c>
      <c r="F37" s="866" t="s">
        <v>675</v>
      </c>
      <c r="G37" s="866">
        <v>1063.52</v>
      </c>
      <c r="H37" s="867">
        <v>483.42</v>
      </c>
      <c r="I37" s="868"/>
      <c r="J37" s="869"/>
      <c r="K37" s="870"/>
      <c r="L37" s="867">
        <v>580.1</v>
      </c>
      <c r="M37" s="870"/>
      <c r="N37" s="864">
        <f t="shared" si="5"/>
        <v>0.54545283586580418</v>
      </c>
    </row>
    <row r="38" spans="1:14" ht="12.75" customHeight="1" x14ac:dyDescent="0.3">
      <c r="A38" s="841"/>
      <c r="B38" s="841"/>
      <c r="C38" s="118"/>
      <c r="D38" s="118"/>
      <c r="E38" s="118"/>
      <c r="F38" s="118"/>
      <c r="G38" s="118"/>
      <c r="H38" s="118"/>
      <c r="I38" s="843"/>
      <c r="J38" s="844"/>
      <c r="K38" s="118"/>
      <c r="L38" s="118"/>
      <c r="M38" s="118"/>
      <c r="N38" s="841"/>
    </row>
    <row r="39" spans="1:14" ht="12.75" customHeight="1" x14ac:dyDescent="0.3">
      <c r="A39" s="841"/>
      <c r="B39" s="841"/>
      <c r="C39" s="118"/>
      <c r="D39" s="118"/>
      <c r="E39" s="118"/>
      <c r="F39" s="118"/>
      <c r="G39" s="118"/>
      <c r="H39" s="118"/>
      <c r="I39" s="843"/>
      <c r="J39" s="844"/>
      <c r="K39" s="118"/>
      <c r="L39" s="118"/>
      <c r="M39" s="118"/>
      <c r="N39" s="841"/>
    </row>
    <row r="40" spans="1:14" ht="12.75" customHeight="1" x14ac:dyDescent="0.3">
      <c r="A40" s="874" t="s">
        <v>677</v>
      </c>
      <c r="B40" s="841"/>
      <c r="C40" s="118"/>
      <c r="D40" s="118"/>
      <c r="E40" s="118"/>
      <c r="F40" s="118"/>
      <c r="G40" s="118"/>
      <c r="H40" s="118"/>
      <c r="I40" s="843"/>
      <c r="J40" s="844"/>
      <c r="K40" s="118"/>
      <c r="L40" s="118"/>
      <c r="M40" s="118"/>
      <c r="N40" s="841"/>
    </row>
    <row r="41" spans="1:14" ht="12.75" customHeight="1" x14ac:dyDescent="0.3">
      <c r="A41" s="875" t="s">
        <v>678</v>
      </c>
      <c r="B41" s="876" t="s">
        <v>679</v>
      </c>
      <c r="C41" s="118"/>
      <c r="D41" s="118"/>
      <c r="E41" s="118"/>
      <c r="F41" s="118"/>
      <c r="G41" s="877">
        <v>9822.4649838000005</v>
      </c>
      <c r="H41" s="118"/>
      <c r="I41" s="843"/>
      <c r="J41" s="844"/>
      <c r="K41" s="118"/>
      <c r="L41" s="118"/>
      <c r="M41" s="118"/>
      <c r="N41" s="878" t="s">
        <v>680</v>
      </c>
    </row>
    <row r="42" spans="1:14" ht="12.75" customHeight="1" x14ac:dyDescent="0.3">
      <c r="A42" s="875" t="s">
        <v>305</v>
      </c>
      <c r="B42" s="876" t="s">
        <v>679</v>
      </c>
      <c r="C42" s="118"/>
      <c r="D42" s="118"/>
      <c r="E42" s="118"/>
      <c r="F42" s="118"/>
      <c r="G42" s="877">
        <v>5378.9689196999998</v>
      </c>
      <c r="H42" s="118"/>
      <c r="I42" s="843"/>
      <c r="J42" s="844"/>
      <c r="K42" s="118"/>
      <c r="L42" s="118"/>
      <c r="M42" s="118"/>
      <c r="N42" s="841" t="s">
        <v>681</v>
      </c>
    </row>
    <row r="43" spans="1:14" ht="12.75" customHeight="1" x14ac:dyDescent="0.3">
      <c r="A43" s="875" t="s">
        <v>682</v>
      </c>
      <c r="B43" s="876" t="s">
        <v>638</v>
      </c>
      <c r="C43" s="118"/>
      <c r="D43" s="118"/>
      <c r="E43" s="841">
        <v>3.15</v>
      </c>
      <c r="F43" s="118"/>
      <c r="G43" s="879">
        <v>3.25</v>
      </c>
      <c r="H43" s="118"/>
      <c r="I43" s="843"/>
      <c r="J43" s="844"/>
      <c r="K43" s="118"/>
      <c r="L43" s="841">
        <v>3.25</v>
      </c>
      <c r="M43" s="841"/>
      <c r="N43" s="841" t="s">
        <v>683</v>
      </c>
    </row>
    <row r="44" spans="1:14" ht="12.75" customHeight="1" x14ac:dyDescent="0.3">
      <c r="A44" s="875" t="s">
        <v>307</v>
      </c>
      <c r="B44" s="876" t="s">
        <v>638</v>
      </c>
      <c r="C44" s="118"/>
      <c r="D44" s="118"/>
      <c r="E44" s="841">
        <v>6.3</v>
      </c>
      <c r="F44" s="118"/>
      <c r="G44" s="879">
        <v>6.4962499999999999</v>
      </c>
      <c r="H44" s="118"/>
      <c r="I44" s="843"/>
      <c r="J44" s="844"/>
      <c r="K44" s="118"/>
      <c r="L44" s="841">
        <v>6.5</v>
      </c>
      <c r="M44" s="841"/>
      <c r="N44" s="841"/>
    </row>
    <row r="45" spans="1:14" ht="12.75" customHeight="1" x14ac:dyDescent="0.3">
      <c r="A45" s="880" t="s">
        <v>308</v>
      </c>
      <c r="B45" s="881" t="s">
        <v>638</v>
      </c>
      <c r="C45" s="118"/>
      <c r="D45" s="118"/>
      <c r="E45" s="841">
        <v>3.15</v>
      </c>
      <c r="F45" s="118"/>
      <c r="G45" s="882">
        <v>3.2671428599999999</v>
      </c>
      <c r="H45" s="118"/>
      <c r="I45" s="843"/>
      <c r="J45" s="844"/>
      <c r="K45" s="118"/>
      <c r="L45" s="841">
        <v>3.27</v>
      </c>
      <c r="M45" s="841"/>
      <c r="N45" s="841"/>
    </row>
    <row r="46" spans="1:14" ht="12.75" customHeight="1" x14ac:dyDescent="0.3">
      <c r="A46" s="841"/>
      <c r="B46" s="881" t="s">
        <v>684</v>
      </c>
      <c r="C46" s="118"/>
      <c r="D46" s="118"/>
      <c r="E46" s="118"/>
      <c r="F46" s="118"/>
      <c r="G46" s="118"/>
      <c r="H46" s="118"/>
      <c r="I46" s="843"/>
      <c r="J46" s="844"/>
      <c r="K46" s="118"/>
      <c r="L46" s="118"/>
      <c r="M46" s="118"/>
      <c r="N46" s="841"/>
    </row>
    <row r="47" spans="1:14" ht="12.75" customHeight="1" x14ac:dyDescent="0.3">
      <c r="A47" s="841"/>
      <c r="B47" s="841"/>
      <c r="C47" s="118"/>
      <c r="D47" s="118"/>
      <c r="E47" s="118"/>
      <c r="F47" s="118"/>
      <c r="G47" s="118"/>
      <c r="H47" s="118"/>
      <c r="I47" s="843"/>
      <c r="J47" s="844"/>
      <c r="K47" s="118"/>
      <c r="L47" s="118"/>
      <c r="M47" s="118"/>
      <c r="N47" s="841"/>
    </row>
    <row r="48" spans="1:14" ht="12.75" customHeight="1" x14ac:dyDescent="0.3">
      <c r="A48" s="841"/>
      <c r="B48" s="841"/>
      <c r="C48" s="118"/>
      <c r="D48" s="118"/>
      <c r="E48" s="118"/>
      <c r="F48" s="118"/>
      <c r="G48" s="118"/>
      <c r="H48" s="118"/>
      <c r="I48" s="843"/>
      <c r="J48" s="844"/>
      <c r="K48" s="118"/>
      <c r="L48" s="118"/>
      <c r="M48" s="118"/>
      <c r="N48" s="841"/>
    </row>
    <row r="49" spans="1:14" ht="12.75" customHeight="1" x14ac:dyDescent="0.3">
      <c r="A49" s="841"/>
      <c r="B49" s="841"/>
      <c r="C49" s="118"/>
      <c r="D49" s="118"/>
      <c r="E49" s="118"/>
      <c r="F49" s="118"/>
      <c r="G49" s="118"/>
      <c r="H49" s="118"/>
      <c r="I49" s="843"/>
      <c r="J49" s="844"/>
      <c r="K49" s="118"/>
      <c r="L49" s="118"/>
      <c r="M49" s="118"/>
      <c r="N49" s="841"/>
    </row>
    <row r="50" spans="1:14" ht="12.75" customHeight="1" x14ac:dyDescent="0.3">
      <c r="A50" s="841"/>
      <c r="B50" s="841"/>
      <c r="C50" s="118"/>
      <c r="D50" s="118"/>
      <c r="E50" s="118"/>
      <c r="F50" s="118"/>
      <c r="G50" s="118"/>
      <c r="H50" s="118"/>
      <c r="I50" s="843"/>
      <c r="J50" s="844"/>
      <c r="K50" s="118"/>
      <c r="L50" s="118"/>
      <c r="M50" s="118"/>
      <c r="N50" s="841"/>
    </row>
    <row r="51" spans="1:14" ht="12.75" customHeight="1" x14ac:dyDescent="0.3">
      <c r="A51" s="841"/>
      <c r="B51" s="841"/>
      <c r="C51" s="118"/>
      <c r="D51" s="118"/>
      <c r="E51" s="118"/>
      <c r="F51" s="118"/>
      <c r="G51" s="118"/>
      <c r="H51" s="118"/>
      <c r="I51" s="843"/>
      <c r="J51" s="844"/>
      <c r="K51" s="118"/>
      <c r="L51" s="118"/>
      <c r="M51" s="118"/>
      <c r="N51" s="841"/>
    </row>
    <row r="52" spans="1:14" ht="12.75" customHeight="1" x14ac:dyDescent="0.3">
      <c r="A52" s="841"/>
      <c r="B52" s="841"/>
      <c r="C52" s="118"/>
      <c r="D52" s="118"/>
      <c r="E52" s="118"/>
      <c r="F52" s="118"/>
      <c r="G52" s="118"/>
      <c r="H52" s="118"/>
      <c r="I52" s="843"/>
      <c r="J52" s="844"/>
      <c r="K52" s="118"/>
      <c r="L52" s="118"/>
      <c r="M52" s="118"/>
      <c r="N52" s="841"/>
    </row>
    <row r="53" spans="1:14" ht="12.75" customHeight="1" x14ac:dyDescent="0.3">
      <c r="A53" s="841"/>
      <c r="B53" s="841"/>
      <c r="C53" s="118"/>
      <c r="D53" s="118"/>
      <c r="E53" s="118"/>
      <c r="F53" s="118"/>
      <c r="G53" s="118"/>
      <c r="H53" s="118"/>
      <c r="I53" s="843"/>
      <c r="J53" s="844"/>
      <c r="K53" s="118"/>
      <c r="L53" s="118"/>
      <c r="M53" s="118"/>
      <c r="N53" s="841"/>
    </row>
    <row r="54" spans="1:14" ht="12.75" customHeight="1" x14ac:dyDescent="0.3">
      <c r="A54" s="841"/>
      <c r="B54" s="841"/>
      <c r="C54" s="118"/>
      <c r="D54" s="118"/>
      <c r="E54" s="118"/>
      <c r="F54" s="118"/>
      <c r="G54" s="118"/>
      <c r="H54" s="118"/>
      <c r="I54" s="843"/>
      <c r="J54" s="844"/>
      <c r="K54" s="118"/>
      <c r="L54" s="118"/>
      <c r="M54" s="118"/>
      <c r="N54" s="841"/>
    </row>
    <row r="55" spans="1:14" ht="12.75" customHeight="1" x14ac:dyDescent="0.3">
      <c r="A55" s="841"/>
      <c r="B55" s="841"/>
      <c r="C55" s="118"/>
      <c r="D55" s="118"/>
      <c r="E55" s="118"/>
      <c r="F55" s="118"/>
      <c r="G55" s="118"/>
      <c r="H55" s="118"/>
      <c r="I55" s="843"/>
      <c r="J55" s="844"/>
      <c r="K55" s="118"/>
      <c r="L55" s="118"/>
      <c r="M55" s="118"/>
      <c r="N55" s="841"/>
    </row>
    <row r="56" spans="1:14" ht="12.75" customHeight="1" x14ac:dyDescent="0.3">
      <c r="A56" s="883" t="s">
        <v>685</v>
      </c>
      <c r="B56" s="884"/>
      <c r="C56" s="885"/>
      <c r="D56" s="118"/>
      <c r="E56" s="118"/>
      <c r="F56" s="118"/>
      <c r="G56" s="118"/>
      <c r="H56" s="118"/>
      <c r="I56" s="843"/>
      <c r="J56" s="844"/>
      <c r="K56" s="118"/>
      <c r="L56" s="118"/>
      <c r="M56" s="118"/>
      <c r="N56" s="841"/>
    </row>
    <row r="57" spans="1:14" ht="12.75" customHeight="1" x14ac:dyDescent="0.3">
      <c r="A57" s="886" t="s">
        <v>304</v>
      </c>
      <c r="B57" s="887" t="s">
        <v>686</v>
      </c>
      <c r="C57" s="888"/>
      <c r="D57" s="118"/>
      <c r="E57" s="841">
        <v>90000</v>
      </c>
      <c r="F57" s="118"/>
      <c r="G57" s="887">
        <v>95000</v>
      </c>
      <c r="H57" s="841">
        <f t="shared" ref="H57:H62" si="6">G57*$B$11</f>
        <v>99750</v>
      </c>
      <c r="I57" s="845"/>
      <c r="J57" s="846"/>
      <c r="K57" s="841"/>
      <c r="L57" s="118"/>
      <c r="M57" s="118"/>
      <c r="N57" s="878" t="s">
        <v>687</v>
      </c>
    </row>
    <row r="58" spans="1:14" ht="12.75" customHeight="1" x14ac:dyDescent="0.3">
      <c r="A58" s="886" t="s">
        <v>305</v>
      </c>
      <c r="B58" s="887"/>
      <c r="C58" s="888"/>
      <c r="D58" s="118"/>
      <c r="E58" s="841">
        <v>60000</v>
      </c>
      <c r="F58" s="118"/>
      <c r="G58" s="887">
        <v>65000</v>
      </c>
      <c r="H58" s="841">
        <f t="shared" si="6"/>
        <v>68250</v>
      </c>
      <c r="I58" s="845"/>
      <c r="J58" s="846"/>
      <c r="K58" s="841"/>
      <c r="L58" s="118"/>
      <c r="M58" s="118"/>
      <c r="N58" s="841"/>
    </row>
    <row r="59" spans="1:14" ht="15" customHeight="1" x14ac:dyDescent="0.35">
      <c r="A59" s="889" t="s">
        <v>688</v>
      </c>
      <c r="B59" s="887"/>
      <c r="C59" s="888"/>
      <c r="D59" s="118"/>
      <c r="E59" s="841">
        <v>15000</v>
      </c>
      <c r="F59" s="118"/>
      <c r="G59" s="887">
        <v>15000</v>
      </c>
      <c r="H59" s="841">
        <f t="shared" si="6"/>
        <v>15750</v>
      </c>
      <c r="I59" s="845"/>
      <c r="J59" s="846"/>
      <c r="K59" s="841"/>
      <c r="L59" s="118"/>
      <c r="M59" s="118"/>
      <c r="N59" s="841"/>
    </row>
    <row r="60" spans="1:14" ht="15" customHeight="1" x14ac:dyDescent="0.35">
      <c r="A60" s="889" t="s">
        <v>689</v>
      </c>
      <c r="B60" s="887"/>
      <c r="C60" s="888"/>
      <c r="D60" s="118"/>
      <c r="E60" s="841">
        <v>30000</v>
      </c>
      <c r="F60" s="118"/>
      <c r="G60" s="887">
        <v>30000</v>
      </c>
      <c r="H60" s="841">
        <f t="shared" si="6"/>
        <v>31500</v>
      </c>
      <c r="I60" s="845"/>
      <c r="J60" s="846"/>
      <c r="K60" s="841"/>
      <c r="L60" s="118"/>
      <c r="M60" s="118"/>
      <c r="N60" s="841"/>
    </row>
    <row r="61" spans="1:14" ht="15" customHeight="1" x14ac:dyDescent="0.35">
      <c r="A61" s="889" t="s">
        <v>308</v>
      </c>
      <c r="B61" s="887"/>
      <c r="C61" s="888"/>
      <c r="D61" s="118"/>
      <c r="E61" s="841">
        <v>40000</v>
      </c>
      <c r="F61" s="118"/>
      <c r="G61" s="887">
        <v>40000</v>
      </c>
      <c r="H61" s="841">
        <f t="shared" si="6"/>
        <v>42000</v>
      </c>
      <c r="I61" s="845"/>
      <c r="J61" s="846"/>
      <c r="K61" s="841"/>
      <c r="L61" s="118"/>
      <c r="M61" s="118"/>
      <c r="N61" s="841"/>
    </row>
    <row r="62" spans="1:14" ht="15" customHeight="1" x14ac:dyDescent="0.35">
      <c r="A62" s="632" t="s">
        <v>682</v>
      </c>
      <c r="B62" s="887"/>
      <c r="C62" s="890"/>
      <c r="D62" s="118"/>
      <c r="E62" s="841">
        <v>10000</v>
      </c>
      <c r="F62" s="118"/>
      <c r="G62" s="887">
        <v>10000</v>
      </c>
      <c r="H62" s="841">
        <f t="shared" si="6"/>
        <v>10500</v>
      </c>
      <c r="I62" s="845"/>
      <c r="J62" s="846"/>
      <c r="K62" s="841"/>
      <c r="L62" s="118"/>
      <c r="M62" s="118"/>
      <c r="N62" s="841"/>
    </row>
    <row r="63" spans="1:14" ht="15" customHeight="1" x14ac:dyDescent="0.35">
      <c r="A63" s="891"/>
      <c r="B63" s="892"/>
      <c r="C63" s="893"/>
      <c r="D63" s="118"/>
      <c r="E63" s="118"/>
      <c r="F63" s="118"/>
      <c r="G63" s="118"/>
      <c r="H63" s="118"/>
      <c r="I63" s="843"/>
      <c r="J63" s="844"/>
      <c r="K63" s="118"/>
      <c r="L63" s="118"/>
      <c r="M63" s="118"/>
      <c r="N63" s="841"/>
    </row>
    <row r="64" spans="1:14" ht="12.75" customHeight="1" x14ac:dyDescent="0.3">
      <c r="A64" s="841"/>
      <c r="B64" s="841"/>
      <c r="C64" s="118"/>
      <c r="D64" s="118"/>
      <c r="E64" s="118"/>
      <c r="F64" s="118"/>
      <c r="G64" s="118"/>
      <c r="H64" s="118"/>
      <c r="I64" s="843"/>
      <c r="J64" s="844"/>
      <c r="K64" s="118"/>
      <c r="L64" s="118"/>
      <c r="M64" s="118"/>
      <c r="N64" s="841"/>
    </row>
    <row r="65" spans="1:14" ht="15" customHeight="1" x14ac:dyDescent="0.3">
      <c r="A65" s="874" t="s">
        <v>690</v>
      </c>
      <c r="B65" s="894"/>
      <c r="C65" s="895"/>
      <c r="D65" s="895"/>
      <c r="E65" s="118"/>
      <c r="F65" s="841"/>
      <c r="G65" s="841"/>
      <c r="H65" s="841"/>
      <c r="I65" s="845"/>
      <c r="J65" s="846"/>
      <c r="K65" s="841"/>
      <c r="L65" s="118"/>
      <c r="M65" s="118"/>
      <c r="N65" s="841"/>
    </row>
    <row r="66" spans="1:14" ht="12.75" customHeight="1" x14ac:dyDescent="0.3">
      <c r="A66" s="875" t="s">
        <v>691</v>
      </c>
      <c r="B66" s="876" t="s">
        <v>692</v>
      </c>
      <c r="C66" s="118"/>
      <c r="D66" s="896"/>
      <c r="E66" s="896">
        <v>1600</v>
      </c>
      <c r="F66" s="841"/>
      <c r="G66" s="896">
        <v>1600</v>
      </c>
      <c r="H66" s="841"/>
      <c r="I66" s="845"/>
      <c r="J66" s="846"/>
      <c r="K66" s="841"/>
      <c r="L66" s="118"/>
      <c r="M66" s="118"/>
      <c r="N66" s="878" t="s">
        <v>693</v>
      </c>
    </row>
    <row r="67" spans="1:14" ht="25.5" customHeight="1" x14ac:dyDescent="0.3">
      <c r="A67" s="875" t="s">
        <v>694</v>
      </c>
      <c r="B67" s="876" t="s">
        <v>692</v>
      </c>
      <c r="C67" s="118"/>
      <c r="D67" s="896"/>
      <c r="E67" s="896">
        <v>1600</v>
      </c>
      <c r="F67" s="841"/>
      <c r="G67" s="896">
        <v>1600</v>
      </c>
      <c r="H67" s="841"/>
      <c r="I67" s="845"/>
      <c r="J67" s="846"/>
      <c r="K67" s="841"/>
      <c r="L67" s="118"/>
      <c r="M67" s="118"/>
      <c r="N67" s="897" t="s">
        <v>695</v>
      </c>
    </row>
    <row r="68" spans="1:14" ht="12.75" customHeight="1" x14ac:dyDescent="0.3">
      <c r="A68" s="880" t="s">
        <v>696</v>
      </c>
      <c r="B68" s="881" t="s">
        <v>692</v>
      </c>
      <c r="C68" s="118"/>
      <c r="D68" s="896"/>
      <c r="E68" s="896">
        <v>2000</v>
      </c>
      <c r="F68" s="841"/>
      <c r="G68" s="896">
        <v>2000</v>
      </c>
      <c r="H68" s="841"/>
      <c r="I68" s="845"/>
      <c r="J68" s="846"/>
      <c r="K68" s="841"/>
      <c r="L68" s="118"/>
      <c r="M68" s="118"/>
      <c r="N68" s="841"/>
    </row>
    <row r="69" spans="1:14" ht="15" customHeight="1" x14ac:dyDescent="0.35">
      <c r="A69" s="632"/>
      <c r="B69" s="632"/>
      <c r="C69" s="126"/>
      <c r="D69" s="126"/>
      <c r="E69" s="126"/>
      <c r="F69" s="841"/>
      <c r="G69" s="841"/>
      <c r="H69" s="841"/>
      <c r="I69" s="845"/>
      <c r="J69" s="846"/>
      <c r="K69" s="841"/>
      <c r="L69" s="118"/>
      <c r="M69" s="118"/>
      <c r="N69" s="841"/>
    </row>
    <row r="70" spans="1:14" ht="15" customHeight="1" x14ac:dyDescent="0.3">
      <c r="A70" s="874" t="s">
        <v>697</v>
      </c>
      <c r="B70" s="894"/>
      <c r="C70" s="895"/>
      <c r="D70" s="895"/>
      <c r="E70" s="118"/>
      <c r="F70" s="841"/>
      <c r="G70" s="841"/>
      <c r="H70" s="841"/>
      <c r="I70" s="845"/>
      <c r="J70" s="846"/>
      <c r="K70" s="841"/>
      <c r="L70" s="118"/>
      <c r="M70" s="118"/>
      <c r="N70" s="841"/>
    </row>
    <row r="71" spans="1:14" ht="12.75" customHeight="1" x14ac:dyDescent="0.3">
      <c r="A71" s="875" t="s">
        <v>691</v>
      </c>
      <c r="B71" s="876" t="s">
        <v>692</v>
      </c>
      <c r="C71" s="118"/>
      <c r="D71" s="898"/>
      <c r="E71" s="898">
        <v>1600</v>
      </c>
      <c r="F71" s="841"/>
      <c r="G71" s="898">
        <v>1600</v>
      </c>
      <c r="H71" s="841"/>
      <c r="I71" s="845"/>
      <c r="J71" s="846"/>
      <c r="K71" s="841"/>
      <c r="L71" s="118"/>
      <c r="M71" s="118"/>
      <c r="N71" s="841"/>
    </row>
    <row r="72" spans="1:14" ht="12.75" customHeight="1" x14ac:dyDescent="0.3">
      <c r="A72" s="875" t="s">
        <v>694</v>
      </c>
      <c r="B72" s="876" t="s">
        <v>692</v>
      </c>
      <c r="C72" s="118"/>
      <c r="D72" s="898"/>
      <c r="E72" s="898">
        <v>1600</v>
      </c>
      <c r="F72" s="841"/>
      <c r="G72" s="898">
        <v>1600</v>
      </c>
      <c r="H72" s="841"/>
      <c r="I72" s="845"/>
      <c r="J72" s="846"/>
      <c r="K72" s="841"/>
      <c r="L72" s="118"/>
      <c r="M72" s="118"/>
      <c r="N72" s="841"/>
    </row>
    <row r="73" spans="1:14" ht="12.75" customHeight="1" x14ac:dyDescent="0.3">
      <c r="A73" s="880" t="s">
        <v>696</v>
      </c>
      <c r="B73" s="881" t="s">
        <v>692</v>
      </c>
      <c r="C73" s="118"/>
      <c r="D73" s="898"/>
      <c r="E73" s="898">
        <v>2000</v>
      </c>
      <c r="F73" s="841"/>
      <c r="G73" s="898">
        <v>2000</v>
      </c>
      <c r="H73" s="841"/>
      <c r="I73" s="845"/>
      <c r="J73" s="846"/>
      <c r="K73" s="841"/>
      <c r="L73" s="118"/>
      <c r="M73" s="118"/>
      <c r="N73" s="841"/>
    </row>
    <row r="74" spans="1:14" ht="12.75" customHeight="1" x14ac:dyDescent="0.3">
      <c r="A74" s="876"/>
      <c r="B74" s="876"/>
      <c r="C74" s="118"/>
      <c r="D74" s="898"/>
      <c r="E74" s="898"/>
      <c r="F74" s="841"/>
      <c r="G74" s="898"/>
      <c r="H74" s="841"/>
      <c r="I74" s="845"/>
      <c r="J74" s="846"/>
      <c r="K74" s="841"/>
      <c r="L74" s="118"/>
      <c r="M74" s="118"/>
      <c r="N74" s="841"/>
    </row>
    <row r="75" spans="1:14" ht="12.75" customHeight="1" x14ac:dyDescent="0.3">
      <c r="A75" s="876"/>
      <c r="B75" s="876"/>
      <c r="C75" s="118"/>
      <c r="D75" s="898"/>
      <c r="E75" s="898"/>
      <c r="F75" s="841"/>
      <c r="G75" s="898"/>
      <c r="H75" s="841"/>
      <c r="I75" s="845"/>
      <c r="J75" s="846"/>
      <c r="K75" s="841"/>
      <c r="L75" s="118"/>
      <c r="M75" s="118"/>
      <c r="N75" s="841"/>
    </row>
    <row r="76" spans="1:14" ht="12.75" customHeight="1" x14ac:dyDescent="0.3">
      <c r="A76" s="874" t="s">
        <v>698</v>
      </c>
      <c r="B76" s="876"/>
      <c r="C76" s="118"/>
      <c r="D76" s="898"/>
      <c r="E76" s="898"/>
      <c r="F76" s="841"/>
      <c r="G76" s="898"/>
      <c r="H76" s="841"/>
      <c r="I76" s="845"/>
      <c r="J76" s="846"/>
      <c r="K76" s="841"/>
      <c r="L76" s="118"/>
      <c r="M76" s="118"/>
      <c r="N76" s="841"/>
    </row>
    <row r="77" spans="1:14" ht="12.75" customHeight="1" x14ac:dyDescent="0.3">
      <c r="A77" s="899" t="s">
        <v>444</v>
      </c>
      <c r="B77" s="841"/>
      <c r="C77" s="118"/>
      <c r="D77" s="118"/>
      <c r="E77" s="118"/>
      <c r="F77" s="118"/>
      <c r="G77" s="118"/>
      <c r="H77" s="118"/>
      <c r="I77" s="843"/>
      <c r="J77" s="844"/>
      <c r="K77" s="118"/>
      <c r="L77" s="118"/>
      <c r="M77" s="118"/>
      <c r="N77" s="841"/>
    </row>
    <row r="78" spans="1:14" ht="12.75" customHeight="1" x14ac:dyDescent="0.3">
      <c r="A78" s="900"/>
      <c r="B78" s="901" t="s">
        <v>699</v>
      </c>
      <c r="C78" s="902"/>
      <c r="D78" s="901">
        <v>65</v>
      </c>
      <c r="E78" s="902"/>
      <c r="F78" s="901">
        <v>97</v>
      </c>
      <c r="G78" s="903">
        <v>81</v>
      </c>
      <c r="H78" s="901">
        <v>94</v>
      </c>
      <c r="I78" s="904">
        <v>84</v>
      </c>
      <c r="J78" s="905"/>
      <c r="K78" s="901"/>
      <c r="L78" s="902"/>
      <c r="M78" s="902"/>
      <c r="N78" s="905"/>
    </row>
    <row r="79" spans="1:14" ht="15" customHeight="1" x14ac:dyDescent="0.35">
      <c r="A79" s="906" t="s">
        <v>447</v>
      </c>
      <c r="B79" s="841" t="s">
        <v>530</v>
      </c>
      <c r="C79" s="118"/>
      <c r="D79" s="118"/>
      <c r="E79" s="118"/>
      <c r="F79" s="118"/>
      <c r="G79" s="898">
        <v>32</v>
      </c>
      <c r="H79" s="907">
        <f>H78/G83</f>
        <v>0.58385093167701863</v>
      </c>
      <c r="I79" s="908">
        <v>29</v>
      </c>
      <c r="J79" s="909"/>
      <c r="K79" s="907"/>
      <c r="L79" s="910">
        <v>0.6</v>
      </c>
      <c r="M79" s="910"/>
      <c r="N79" s="846" t="s">
        <v>700</v>
      </c>
    </row>
    <row r="80" spans="1:14" ht="12.75" customHeight="1" x14ac:dyDescent="0.3">
      <c r="A80" s="906"/>
      <c r="B80" s="841" t="s">
        <v>308</v>
      </c>
      <c r="C80" s="118"/>
      <c r="D80" s="118"/>
      <c r="E80" s="118"/>
      <c r="F80" s="118"/>
      <c r="G80" s="898">
        <v>30</v>
      </c>
      <c r="H80" s="118"/>
      <c r="I80" s="843">
        <v>22</v>
      </c>
      <c r="J80" s="844"/>
      <c r="K80" s="118"/>
      <c r="L80" s="118"/>
      <c r="M80" s="118"/>
      <c r="N80" s="846"/>
    </row>
    <row r="81" spans="1:26" ht="12.75" customHeight="1" x14ac:dyDescent="0.3">
      <c r="A81" s="906"/>
      <c r="B81" s="841" t="s">
        <v>307</v>
      </c>
      <c r="C81" s="118"/>
      <c r="D81" s="118"/>
      <c r="E81" s="118"/>
      <c r="F81" s="118"/>
      <c r="G81" s="898">
        <v>8</v>
      </c>
      <c r="H81" s="118"/>
      <c r="I81" s="843">
        <v>18</v>
      </c>
      <c r="J81" s="844"/>
      <c r="K81" s="118"/>
      <c r="L81" s="118"/>
      <c r="M81" s="118"/>
      <c r="N81" s="846"/>
    </row>
    <row r="82" spans="1:26" ht="12.75" customHeight="1" x14ac:dyDescent="0.3">
      <c r="A82" s="906"/>
      <c r="B82" s="841" t="s">
        <v>701</v>
      </c>
      <c r="C82" s="118"/>
      <c r="D82" s="118"/>
      <c r="E82" s="118"/>
      <c r="F82" s="118"/>
      <c r="G82" s="898">
        <v>10</v>
      </c>
      <c r="H82" s="118"/>
      <c r="I82" s="843">
        <v>42</v>
      </c>
      <c r="J82" s="844"/>
      <c r="K82" s="118"/>
      <c r="L82" s="118"/>
      <c r="M82" s="118"/>
      <c r="N82" s="846"/>
    </row>
    <row r="83" spans="1:26" ht="13.5" customHeight="1" x14ac:dyDescent="0.3">
      <c r="A83" s="911" t="s">
        <v>702</v>
      </c>
      <c r="B83" s="912"/>
      <c r="C83" s="913"/>
      <c r="D83" s="912">
        <v>99</v>
      </c>
      <c r="E83" s="913"/>
      <c r="F83" s="912">
        <v>104</v>
      </c>
      <c r="G83" s="914">
        <f>SUM(G77:G82)</f>
        <v>161</v>
      </c>
      <c r="H83" s="912">
        <v>119</v>
      </c>
      <c r="I83" s="915">
        <f>SUM(I78:I82)</f>
        <v>195</v>
      </c>
      <c r="J83" s="916">
        <f>H83/I83</f>
        <v>0.61025641025641031</v>
      </c>
      <c r="K83" s="912"/>
      <c r="L83" s="913"/>
      <c r="M83" s="913"/>
      <c r="N83" s="917"/>
    </row>
    <row r="84" spans="1:26" ht="15" customHeight="1" x14ac:dyDescent="0.35">
      <c r="A84" s="918" t="s">
        <v>448</v>
      </c>
      <c r="B84" s="901" t="s">
        <v>703</v>
      </c>
      <c r="C84" s="919">
        <f>D83/G83</f>
        <v>0.6149068322981367</v>
      </c>
      <c r="D84" s="902"/>
      <c r="E84" s="902"/>
      <c r="F84" s="919">
        <f>F83/G83</f>
        <v>0.64596273291925466</v>
      </c>
      <c r="G84" s="920">
        <v>81</v>
      </c>
      <c r="H84" s="919">
        <f>H83/G83</f>
        <v>0.73913043478260865</v>
      </c>
      <c r="I84" s="921"/>
      <c r="J84" s="922"/>
      <c r="K84" s="919"/>
      <c r="L84" s="923">
        <v>0.7</v>
      </c>
      <c r="M84" s="923"/>
      <c r="N84" s="905" t="s">
        <v>704</v>
      </c>
    </row>
    <row r="85" spans="1:26" ht="12.75" customHeight="1" x14ac:dyDescent="0.3">
      <c r="A85" s="906"/>
      <c r="B85" s="841" t="s">
        <v>530</v>
      </c>
      <c r="C85" s="118"/>
      <c r="D85" s="118"/>
      <c r="E85" s="118"/>
      <c r="F85" s="118"/>
      <c r="G85" s="924">
        <v>32</v>
      </c>
      <c r="H85" s="118"/>
      <c r="I85" s="843"/>
      <c r="J85" s="844"/>
      <c r="K85" s="118"/>
      <c r="L85" s="118"/>
      <c r="M85" s="118"/>
      <c r="N85" s="846"/>
    </row>
    <row r="86" spans="1:26" ht="12.75" customHeight="1" x14ac:dyDescent="0.3">
      <c r="A86" s="906"/>
      <c r="B86" s="841" t="s">
        <v>308</v>
      </c>
      <c r="C86" s="118"/>
      <c r="D86" s="118"/>
      <c r="E86" s="118"/>
      <c r="F86" s="118"/>
      <c r="G86" s="924">
        <v>8</v>
      </c>
      <c r="H86" s="118"/>
      <c r="I86" s="843"/>
      <c r="J86" s="844"/>
      <c r="K86" s="118"/>
      <c r="L86" s="118"/>
      <c r="M86" s="118"/>
      <c r="N86" s="846"/>
    </row>
    <row r="87" spans="1:26" ht="12.75" customHeight="1" x14ac:dyDescent="0.3">
      <c r="A87" s="906"/>
      <c r="B87" s="841" t="s">
        <v>701</v>
      </c>
      <c r="C87" s="118"/>
      <c r="D87" s="118"/>
      <c r="E87" s="118"/>
      <c r="F87" s="118"/>
      <c r="G87" s="924">
        <v>5</v>
      </c>
      <c r="H87" s="118"/>
      <c r="I87" s="843"/>
      <c r="J87" s="844"/>
      <c r="K87" s="118"/>
      <c r="L87" s="118"/>
      <c r="M87" s="118"/>
      <c r="N87" s="846"/>
    </row>
    <row r="88" spans="1:26" ht="13.5" customHeight="1" x14ac:dyDescent="0.3">
      <c r="A88" s="911"/>
      <c r="B88" s="912"/>
      <c r="C88" s="913"/>
      <c r="D88" s="913"/>
      <c r="E88" s="913"/>
      <c r="F88" s="913"/>
      <c r="G88" s="914">
        <f>SUM(G84:G87)</f>
        <v>126</v>
      </c>
      <c r="H88" s="913"/>
      <c r="I88" s="925"/>
      <c r="J88" s="926"/>
      <c r="K88" s="913"/>
      <c r="L88" s="913"/>
      <c r="M88" s="913"/>
      <c r="N88" s="917"/>
    </row>
    <row r="89" spans="1:26" ht="12.75" customHeight="1" x14ac:dyDescent="0.3">
      <c r="A89" s="918" t="s">
        <v>450</v>
      </c>
      <c r="B89" s="901" t="s">
        <v>705</v>
      </c>
      <c r="C89" s="902"/>
      <c r="D89" s="901">
        <v>41</v>
      </c>
      <c r="E89" s="902"/>
      <c r="F89" s="901">
        <v>39</v>
      </c>
      <c r="G89" s="920">
        <v>30</v>
      </c>
      <c r="H89" s="901">
        <v>40</v>
      </c>
      <c r="I89" s="904"/>
      <c r="J89" s="905"/>
      <c r="K89" s="901"/>
      <c r="L89" s="902"/>
      <c r="M89" s="902"/>
      <c r="N89" s="905"/>
    </row>
    <row r="90" spans="1:26" ht="15" customHeight="1" x14ac:dyDescent="0.35">
      <c r="A90" s="906"/>
      <c r="B90" s="841" t="s">
        <v>706</v>
      </c>
      <c r="C90" s="907">
        <f>D89/G92</f>
        <v>0.7592592592592593</v>
      </c>
      <c r="D90" s="118"/>
      <c r="E90" s="907">
        <f>F89/G92</f>
        <v>0.72222222222222221</v>
      </c>
      <c r="F90" s="118"/>
      <c r="G90" s="924">
        <v>16</v>
      </c>
      <c r="H90" s="907">
        <f>H89/G92</f>
        <v>0.7407407407407407</v>
      </c>
      <c r="I90" s="927"/>
      <c r="J90" s="928"/>
      <c r="K90" s="907"/>
      <c r="L90" s="910">
        <v>0.75</v>
      </c>
      <c r="M90" s="910"/>
      <c r="N90" s="929">
        <v>0.7</v>
      </c>
    </row>
    <row r="91" spans="1:26" ht="12.75" customHeight="1" x14ac:dyDescent="0.3">
      <c r="A91" s="906"/>
      <c r="B91" s="841" t="s">
        <v>707</v>
      </c>
      <c r="C91" s="118"/>
      <c r="D91" s="118"/>
      <c r="E91" s="118"/>
      <c r="F91" s="118"/>
      <c r="G91" s="924">
        <v>8</v>
      </c>
      <c r="H91" s="118"/>
      <c r="I91" s="843"/>
      <c r="J91" s="844"/>
      <c r="K91" s="118"/>
      <c r="L91" s="118"/>
      <c r="M91" s="118"/>
      <c r="N91" s="846"/>
    </row>
    <row r="92" spans="1:26" ht="13.5" customHeight="1" x14ac:dyDescent="0.3">
      <c r="A92" s="915"/>
      <c r="B92" s="912"/>
      <c r="C92" s="913"/>
      <c r="D92" s="913"/>
      <c r="E92" s="913"/>
      <c r="F92" s="913"/>
      <c r="G92" s="914">
        <f>SUM(G89:G91)</f>
        <v>54</v>
      </c>
      <c r="H92" s="913"/>
      <c r="I92" s="925"/>
      <c r="J92" s="926"/>
      <c r="K92" s="913"/>
      <c r="L92" s="913"/>
      <c r="M92" s="913"/>
      <c r="N92" s="917"/>
    </row>
    <row r="93" spans="1:26" ht="12.75" customHeight="1" x14ac:dyDescent="0.3">
      <c r="A93" s="918" t="s">
        <v>449</v>
      </c>
      <c r="B93" s="901"/>
      <c r="C93" s="902"/>
      <c r="D93" s="902"/>
      <c r="E93" s="902"/>
      <c r="F93" s="902"/>
      <c r="G93" s="920"/>
      <c r="H93" s="902"/>
      <c r="I93" s="930"/>
      <c r="J93" s="931"/>
      <c r="K93" s="902"/>
      <c r="L93" s="902"/>
      <c r="M93" s="902"/>
      <c r="N93" s="905"/>
    </row>
    <row r="94" spans="1:26" ht="12.75" customHeight="1" x14ac:dyDescent="0.3">
      <c r="A94" s="906"/>
      <c r="B94" s="841"/>
      <c r="C94" s="118"/>
      <c r="D94" s="118"/>
      <c r="E94" s="118"/>
      <c r="F94" s="118"/>
      <c r="G94" s="924"/>
      <c r="H94" s="118"/>
      <c r="I94" s="843"/>
      <c r="J94" s="844"/>
      <c r="K94" s="118"/>
      <c r="L94" s="118"/>
      <c r="M94" s="118"/>
      <c r="N94" s="846"/>
    </row>
    <row r="95" spans="1:26" ht="12.75" customHeight="1" x14ac:dyDescent="0.3">
      <c r="A95" s="906" t="s">
        <v>708</v>
      </c>
      <c r="B95" s="841"/>
      <c r="C95" s="118"/>
      <c r="D95" s="118"/>
      <c r="E95" s="118"/>
      <c r="F95" s="118"/>
      <c r="G95" s="924">
        <v>38</v>
      </c>
      <c r="H95" s="841">
        <v>37</v>
      </c>
      <c r="I95" s="845">
        <v>115</v>
      </c>
      <c r="J95" s="846"/>
      <c r="K95" s="841"/>
      <c r="L95" s="910"/>
      <c r="M95" s="910"/>
      <c r="N95" s="846"/>
    </row>
    <row r="96" spans="1:26" ht="12.75" customHeight="1" x14ac:dyDescent="0.3">
      <c r="A96" s="906" t="s">
        <v>709</v>
      </c>
      <c r="B96" s="841"/>
      <c r="C96" s="118"/>
      <c r="D96" s="118"/>
      <c r="E96" s="118"/>
      <c r="F96" s="118"/>
      <c r="G96" s="924"/>
      <c r="H96" s="841"/>
      <c r="I96" s="845">
        <v>130</v>
      </c>
      <c r="J96" s="846"/>
      <c r="K96" s="841"/>
      <c r="L96" s="910"/>
      <c r="M96" s="910"/>
      <c r="N96" s="846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:26" ht="15" customHeight="1" x14ac:dyDescent="0.35">
      <c r="A97" s="911"/>
      <c r="B97" s="912"/>
      <c r="C97" s="913"/>
      <c r="D97" s="913"/>
      <c r="E97" s="913"/>
      <c r="F97" s="913"/>
      <c r="G97" s="913"/>
      <c r="H97" s="932">
        <f>H95/G95</f>
        <v>0.97368421052631582</v>
      </c>
      <c r="I97" s="933">
        <f>I95/I96</f>
        <v>0.88461538461538458</v>
      </c>
      <c r="J97" s="934"/>
      <c r="K97" s="932"/>
      <c r="L97" s="935">
        <v>0.95</v>
      </c>
      <c r="M97" s="935"/>
      <c r="N97" s="917" t="s">
        <v>710</v>
      </c>
    </row>
    <row r="98" spans="1:26" ht="12.75" customHeight="1" x14ac:dyDescent="0.3">
      <c r="A98" s="875" t="s">
        <v>711</v>
      </c>
      <c r="B98" s="841"/>
      <c r="C98" s="118"/>
      <c r="D98" s="118"/>
      <c r="E98" s="118"/>
      <c r="F98" s="118"/>
      <c r="G98" s="118"/>
      <c r="H98" s="118"/>
      <c r="I98" s="843">
        <v>24</v>
      </c>
      <c r="J98" s="844"/>
      <c r="K98" s="118"/>
      <c r="L98" s="118"/>
      <c r="M98" s="118"/>
      <c r="N98" s="841"/>
    </row>
    <row r="99" spans="1:26" ht="12.75" customHeight="1" x14ac:dyDescent="0.3">
      <c r="A99" s="875" t="s">
        <v>712</v>
      </c>
      <c r="B99" s="841"/>
      <c r="C99" s="118"/>
      <c r="D99" s="118"/>
      <c r="E99" s="118"/>
      <c r="F99" s="118"/>
      <c r="G99" s="118"/>
      <c r="H99" s="118"/>
      <c r="I99" s="843">
        <v>7</v>
      </c>
      <c r="J99" s="844"/>
      <c r="K99" s="118"/>
      <c r="L99" s="118"/>
      <c r="M99" s="118"/>
      <c r="N99" s="841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:26" ht="12.75" customHeight="1" x14ac:dyDescent="0.3">
      <c r="A100" s="880" t="s">
        <v>713</v>
      </c>
      <c r="B100" s="841"/>
      <c r="C100" s="118"/>
      <c r="D100" s="118"/>
      <c r="E100" s="118"/>
      <c r="F100" s="118"/>
      <c r="G100" s="118"/>
      <c r="H100" s="118"/>
      <c r="I100" s="843"/>
      <c r="J100" s="844"/>
      <c r="K100" s="118"/>
      <c r="L100" s="118"/>
      <c r="M100" s="118"/>
      <c r="N100" s="841"/>
    </row>
    <row r="101" spans="1:26" ht="12.75" customHeight="1" x14ac:dyDescent="0.3">
      <c r="A101" s="841"/>
      <c r="B101" s="841"/>
      <c r="C101" s="118"/>
      <c r="D101" s="118"/>
      <c r="E101" s="118"/>
      <c r="F101" s="118"/>
      <c r="G101" s="118"/>
      <c r="H101" s="118"/>
      <c r="I101" s="843"/>
      <c r="J101" s="844"/>
      <c r="K101" s="118"/>
      <c r="L101" s="118"/>
      <c r="M101" s="118"/>
      <c r="N101" s="841"/>
    </row>
    <row r="102" spans="1:26" ht="12.75" customHeight="1" x14ac:dyDescent="0.3">
      <c r="A102" s="874" t="s">
        <v>698</v>
      </c>
      <c r="B102" s="936" t="s">
        <v>129</v>
      </c>
      <c r="C102" s="936" t="s">
        <v>129</v>
      </c>
      <c r="D102" s="118"/>
      <c r="E102" s="936" t="s">
        <v>129</v>
      </c>
      <c r="F102" s="118"/>
      <c r="G102" s="936" t="s">
        <v>129</v>
      </c>
      <c r="H102" s="118"/>
      <c r="I102" s="843"/>
      <c r="J102" s="844"/>
      <c r="K102" s="118"/>
      <c r="L102" s="118"/>
      <c r="M102" s="118"/>
      <c r="N102" s="841"/>
    </row>
    <row r="103" spans="1:26" ht="12.75" customHeight="1" x14ac:dyDescent="0.3">
      <c r="A103" s="875" t="s">
        <v>447</v>
      </c>
      <c r="B103" s="877"/>
      <c r="C103" s="841">
        <v>750</v>
      </c>
      <c r="D103" s="118"/>
      <c r="E103" s="877">
        <v>700</v>
      </c>
      <c r="F103" s="118"/>
      <c r="G103" s="877">
        <v>700</v>
      </c>
      <c r="H103" s="841">
        <f t="shared" ref="H103:H106" si="7">G103*$B$11</f>
        <v>735</v>
      </c>
      <c r="I103" s="845"/>
      <c r="J103" s="846"/>
      <c r="K103" s="841"/>
      <c r="L103" s="841">
        <v>735</v>
      </c>
      <c r="M103" s="841"/>
      <c r="N103" s="841" t="s">
        <v>714</v>
      </c>
    </row>
    <row r="104" spans="1:26" ht="12.75" customHeight="1" x14ac:dyDescent="0.3">
      <c r="A104" s="875" t="s">
        <v>448</v>
      </c>
      <c r="B104" s="877"/>
      <c r="C104" s="841">
        <v>750</v>
      </c>
      <c r="D104" s="118"/>
      <c r="E104" s="877">
        <v>700</v>
      </c>
      <c r="F104" s="118"/>
      <c r="G104" s="877">
        <v>700</v>
      </c>
      <c r="H104" s="841">
        <f t="shared" si="7"/>
        <v>735</v>
      </c>
      <c r="I104" s="845"/>
      <c r="J104" s="846"/>
      <c r="K104" s="841"/>
      <c r="L104" s="841">
        <v>735</v>
      </c>
      <c r="M104" s="841"/>
      <c r="N104" s="878" t="s">
        <v>715</v>
      </c>
    </row>
    <row r="105" spans="1:26" ht="25.5" customHeight="1" x14ac:dyDescent="0.3">
      <c r="A105" s="875" t="s">
        <v>450</v>
      </c>
      <c r="B105" s="877"/>
      <c r="C105" s="841">
        <v>750</v>
      </c>
      <c r="D105" s="118"/>
      <c r="E105" s="877">
        <v>700</v>
      </c>
      <c r="F105" s="118"/>
      <c r="G105" s="877">
        <v>700</v>
      </c>
      <c r="H105" s="841">
        <f t="shared" si="7"/>
        <v>735</v>
      </c>
      <c r="I105" s="845"/>
      <c r="J105" s="846"/>
      <c r="K105" s="841"/>
      <c r="L105" s="841">
        <v>735</v>
      </c>
      <c r="M105" s="841"/>
      <c r="N105" s="937" t="s">
        <v>716</v>
      </c>
    </row>
    <row r="106" spans="1:26" ht="12.75" customHeight="1" x14ac:dyDescent="0.3">
      <c r="A106" s="875" t="s">
        <v>449</v>
      </c>
      <c r="B106" s="877"/>
      <c r="C106" s="118"/>
      <c r="D106" s="118"/>
      <c r="E106" s="877">
        <v>500</v>
      </c>
      <c r="F106" s="118"/>
      <c r="G106" s="877">
        <v>500</v>
      </c>
      <c r="H106" s="841">
        <f t="shared" si="7"/>
        <v>525</v>
      </c>
      <c r="I106" s="845"/>
      <c r="J106" s="846"/>
      <c r="K106" s="841"/>
      <c r="L106" s="841">
        <v>525</v>
      </c>
      <c r="M106" s="841"/>
      <c r="N106" s="841" t="s">
        <v>717</v>
      </c>
    </row>
    <row r="107" spans="1:26" ht="25.5" customHeight="1" x14ac:dyDescent="0.3">
      <c r="A107" s="875" t="s">
        <v>718</v>
      </c>
      <c r="B107" s="877"/>
      <c r="C107" s="118"/>
      <c r="D107" s="118"/>
      <c r="E107" s="877"/>
      <c r="F107" s="118"/>
      <c r="G107" s="877"/>
      <c r="H107" s="841">
        <v>525</v>
      </c>
      <c r="I107" s="845"/>
      <c r="J107" s="846"/>
      <c r="K107" s="841"/>
      <c r="L107" s="841">
        <v>650</v>
      </c>
      <c r="M107" s="841"/>
      <c r="N107" s="897" t="s">
        <v>719</v>
      </c>
    </row>
    <row r="108" spans="1:26" ht="12.75" customHeight="1" x14ac:dyDescent="0.3">
      <c r="A108" s="875" t="s">
        <v>720</v>
      </c>
      <c r="B108" s="877"/>
      <c r="C108" s="841">
        <v>750</v>
      </c>
      <c r="D108" s="118"/>
      <c r="E108" s="877">
        <v>800</v>
      </c>
      <c r="F108" s="118"/>
      <c r="G108" s="877">
        <v>800</v>
      </c>
      <c r="H108" s="841">
        <f t="shared" ref="H108:H109" si="8">G108*$B$11</f>
        <v>840</v>
      </c>
      <c r="I108" s="845"/>
      <c r="J108" s="846"/>
      <c r="K108" s="841"/>
      <c r="L108" s="841">
        <v>900</v>
      </c>
      <c r="M108" s="841"/>
      <c r="N108" s="841" t="s">
        <v>721</v>
      </c>
    </row>
    <row r="109" spans="1:26" ht="12.75" customHeight="1" x14ac:dyDescent="0.3">
      <c r="A109" s="880" t="s">
        <v>713</v>
      </c>
      <c r="B109" s="938"/>
      <c r="C109" s="841">
        <v>1000</v>
      </c>
      <c r="D109" s="118"/>
      <c r="E109" s="938">
        <v>1100</v>
      </c>
      <c r="F109" s="118"/>
      <c r="G109" s="938">
        <v>1100</v>
      </c>
      <c r="H109" s="841">
        <f t="shared" si="8"/>
        <v>1155</v>
      </c>
      <c r="I109" s="845"/>
      <c r="J109" s="846"/>
      <c r="K109" s="841"/>
      <c r="L109" s="841">
        <v>1155</v>
      </c>
      <c r="M109" s="841"/>
      <c r="N109" s="841" t="s">
        <v>722</v>
      </c>
    </row>
    <row r="110" spans="1:26" ht="12.75" customHeight="1" x14ac:dyDescent="0.3">
      <c r="A110" s="874" t="s">
        <v>698</v>
      </c>
      <c r="B110" s="936" t="s">
        <v>521</v>
      </c>
      <c r="C110" s="118"/>
      <c r="D110" s="118"/>
      <c r="E110" s="936" t="s">
        <v>521</v>
      </c>
      <c r="F110" s="118"/>
      <c r="G110" s="936" t="s">
        <v>521</v>
      </c>
      <c r="H110" s="118"/>
      <c r="I110" s="843"/>
      <c r="J110" s="844"/>
      <c r="K110" s="118"/>
      <c r="L110" s="118"/>
      <c r="M110" s="118"/>
      <c r="N110" s="841"/>
    </row>
    <row r="111" spans="1:26" ht="12.75" customHeight="1" x14ac:dyDescent="0.3">
      <c r="A111" s="875" t="s">
        <v>447</v>
      </c>
      <c r="B111" s="877"/>
      <c r="C111" s="841">
        <v>400</v>
      </c>
      <c r="D111" s="118"/>
      <c r="E111" s="877">
        <v>450</v>
      </c>
      <c r="F111" s="118"/>
      <c r="G111" s="877">
        <v>450</v>
      </c>
      <c r="H111" s="841">
        <f t="shared" ref="H111:H114" si="9">G111*$B$11</f>
        <v>472.5</v>
      </c>
      <c r="I111" s="845"/>
      <c r="J111" s="846"/>
      <c r="K111" s="841"/>
      <c r="L111" s="841">
        <v>475</v>
      </c>
      <c r="M111" s="841"/>
      <c r="N111" s="841"/>
    </row>
    <row r="112" spans="1:26" ht="12.75" customHeight="1" x14ac:dyDescent="0.3">
      <c r="A112" s="875" t="s">
        <v>448</v>
      </c>
      <c r="B112" s="877"/>
      <c r="C112" s="841">
        <v>400</v>
      </c>
      <c r="D112" s="118"/>
      <c r="E112" s="877">
        <v>450</v>
      </c>
      <c r="F112" s="118"/>
      <c r="G112" s="877">
        <v>450</v>
      </c>
      <c r="H112" s="841">
        <f t="shared" si="9"/>
        <v>472.5</v>
      </c>
      <c r="I112" s="845"/>
      <c r="J112" s="846"/>
      <c r="K112" s="841"/>
      <c r="L112" s="841">
        <v>475</v>
      </c>
      <c r="M112" s="841"/>
      <c r="N112" s="841"/>
    </row>
    <row r="113" spans="1:14" ht="12.75" customHeight="1" x14ac:dyDescent="0.3">
      <c r="A113" s="875" t="s">
        <v>450</v>
      </c>
      <c r="B113" s="877"/>
      <c r="C113" s="841">
        <v>900</v>
      </c>
      <c r="D113" s="118"/>
      <c r="E113" s="877">
        <v>900</v>
      </c>
      <c r="F113" s="118"/>
      <c r="G113" s="877">
        <v>900</v>
      </c>
      <c r="H113" s="841">
        <f t="shared" si="9"/>
        <v>945</v>
      </c>
      <c r="I113" s="845"/>
      <c r="J113" s="846"/>
      <c r="K113" s="841"/>
      <c r="L113" s="841">
        <v>945</v>
      </c>
      <c r="M113" s="841"/>
      <c r="N113" s="841"/>
    </row>
    <row r="114" spans="1:14" ht="12.75" customHeight="1" x14ac:dyDescent="0.3">
      <c r="A114" s="875" t="s">
        <v>449</v>
      </c>
      <c r="B114" s="877"/>
      <c r="C114" s="118"/>
      <c r="D114" s="118"/>
      <c r="E114" s="877">
        <v>500</v>
      </c>
      <c r="F114" s="118"/>
      <c r="G114" s="877">
        <v>500</v>
      </c>
      <c r="H114" s="841">
        <f t="shared" si="9"/>
        <v>525</v>
      </c>
      <c r="I114" s="845"/>
      <c r="J114" s="846"/>
      <c r="K114" s="841"/>
      <c r="L114" s="841">
        <v>525</v>
      </c>
      <c r="M114" s="841"/>
      <c r="N114" s="878" t="s">
        <v>715</v>
      </c>
    </row>
    <row r="115" spans="1:14" ht="12.75" customHeight="1" x14ac:dyDescent="0.3">
      <c r="A115" s="875" t="s">
        <v>718</v>
      </c>
      <c r="B115" s="877"/>
      <c r="C115" s="118"/>
      <c r="D115" s="118"/>
      <c r="E115" s="877"/>
      <c r="F115" s="118"/>
      <c r="G115" s="877"/>
      <c r="H115" s="841">
        <v>525</v>
      </c>
      <c r="I115" s="845"/>
      <c r="J115" s="846"/>
      <c r="K115" s="841"/>
      <c r="L115" s="841">
        <v>525</v>
      </c>
      <c r="M115" s="841"/>
      <c r="N115" s="841" t="s">
        <v>723</v>
      </c>
    </row>
    <row r="116" spans="1:14" ht="12.75" customHeight="1" x14ac:dyDescent="0.3">
      <c r="A116" s="875" t="s">
        <v>720</v>
      </c>
      <c r="B116" s="877"/>
      <c r="C116" s="841">
        <v>1100</v>
      </c>
      <c r="D116" s="118"/>
      <c r="E116" s="877">
        <v>1100</v>
      </c>
      <c r="F116" s="118"/>
      <c r="G116" s="877">
        <v>1100</v>
      </c>
      <c r="H116" s="841">
        <f t="shared" ref="H116:H117" si="10">G116*$B$11</f>
        <v>1155</v>
      </c>
      <c r="I116" s="845"/>
      <c r="J116" s="846"/>
      <c r="K116" s="841"/>
      <c r="L116" s="841">
        <v>1155</v>
      </c>
      <c r="M116" s="841"/>
      <c r="N116" s="841"/>
    </row>
    <row r="117" spans="1:14" ht="12.75" customHeight="1" x14ac:dyDescent="0.3">
      <c r="A117" s="880" t="s">
        <v>713</v>
      </c>
      <c r="B117" s="938"/>
      <c r="C117" s="841">
        <v>1000</v>
      </c>
      <c r="D117" s="118"/>
      <c r="E117" s="938">
        <v>1200</v>
      </c>
      <c r="F117" s="118"/>
      <c r="G117" s="938">
        <v>1200</v>
      </c>
      <c r="H117" s="841">
        <f t="shared" si="10"/>
        <v>1260</v>
      </c>
      <c r="I117" s="845"/>
      <c r="J117" s="846"/>
      <c r="K117" s="841"/>
      <c r="L117" s="841">
        <v>1260</v>
      </c>
      <c r="M117" s="841"/>
      <c r="N117" s="841"/>
    </row>
    <row r="118" spans="1:14" ht="12.75" customHeight="1" x14ac:dyDescent="0.3">
      <c r="A118" s="880"/>
      <c r="B118" s="841"/>
      <c r="C118" s="118"/>
      <c r="D118" s="118"/>
      <c r="E118" s="118"/>
      <c r="F118" s="118"/>
      <c r="G118" s="118"/>
      <c r="H118" s="118"/>
      <c r="I118" s="843"/>
      <c r="J118" s="844"/>
      <c r="K118" s="118"/>
      <c r="L118" s="118"/>
      <c r="M118" s="118"/>
      <c r="N118" s="841"/>
    </row>
    <row r="119" spans="1:14" ht="12.75" customHeight="1" x14ac:dyDescent="0.3">
      <c r="A119" s="841"/>
      <c r="B119" s="841"/>
      <c r="C119" s="118"/>
      <c r="D119" s="118"/>
      <c r="E119" s="118"/>
      <c r="F119" s="118"/>
      <c r="G119" s="118"/>
      <c r="H119" s="118"/>
      <c r="I119" s="843"/>
      <c r="J119" s="844"/>
      <c r="K119" s="118"/>
      <c r="L119" s="118"/>
      <c r="M119" s="118"/>
      <c r="N119" s="841"/>
    </row>
    <row r="120" spans="1:14" ht="12.75" customHeight="1" x14ac:dyDescent="0.3">
      <c r="A120" s="841"/>
      <c r="B120" s="841"/>
      <c r="C120" s="118"/>
      <c r="D120" s="118"/>
      <c r="E120" s="118"/>
      <c r="F120" s="118"/>
      <c r="G120" s="118"/>
      <c r="H120" s="118"/>
      <c r="I120" s="843"/>
      <c r="J120" s="844"/>
      <c r="K120" s="118"/>
      <c r="L120" s="118"/>
      <c r="M120" s="118"/>
      <c r="N120" s="841"/>
    </row>
    <row r="121" spans="1:14" ht="12.75" customHeight="1" x14ac:dyDescent="0.3">
      <c r="A121" s="841"/>
      <c r="B121" s="841"/>
      <c r="C121" s="118"/>
      <c r="D121" s="118"/>
      <c r="E121" s="118"/>
      <c r="F121" s="118"/>
      <c r="G121" s="118"/>
      <c r="H121" s="118"/>
      <c r="I121" s="843"/>
      <c r="J121" s="844"/>
      <c r="K121" s="118"/>
      <c r="L121" s="118"/>
      <c r="M121" s="118"/>
      <c r="N121" s="841"/>
    </row>
    <row r="122" spans="1:14" ht="12.75" customHeight="1" x14ac:dyDescent="0.3">
      <c r="A122" s="841"/>
      <c r="B122" s="841"/>
      <c r="C122" s="118"/>
      <c r="D122" s="118"/>
      <c r="E122" s="118"/>
      <c r="F122" s="118"/>
      <c r="G122" s="118"/>
      <c r="H122" s="118"/>
      <c r="I122" s="843"/>
      <c r="J122" s="844"/>
      <c r="K122" s="118"/>
      <c r="L122" s="118"/>
      <c r="M122" s="118"/>
      <c r="N122" s="841"/>
    </row>
    <row r="123" spans="1:14" ht="12.75" customHeight="1" x14ac:dyDescent="0.3">
      <c r="A123" s="841"/>
      <c r="B123" s="841"/>
      <c r="C123" s="118"/>
      <c r="D123" s="118"/>
      <c r="E123" s="118"/>
      <c r="F123" s="118"/>
      <c r="G123" s="118"/>
      <c r="H123" s="118"/>
      <c r="I123" s="843"/>
      <c r="J123" s="844"/>
      <c r="K123" s="118"/>
      <c r="L123" s="118"/>
      <c r="M123" s="118"/>
      <c r="N123" s="841"/>
    </row>
    <row r="124" spans="1:14" ht="12.75" customHeight="1" x14ac:dyDescent="0.3">
      <c r="A124" s="841"/>
      <c r="B124" s="841"/>
      <c r="C124" s="118"/>
      <c r="D124" s="118"/>
      <c r="E124" s="118"/>
      <c r="F124" s="118"/>
      <c r="G124" s="118"/>
      <c r="H124" s="118"/>
      <c r="I124" s="843"/>
      <c r="J124" s="844"/>
      <c r="K124" s="118"/>
      <c r="L124" s="118"/>
      <c r="M124" s="118"/>
      <c r="N124" s="841"/>
    </row>
    <row r="125" spans="1:14" ht="12.75" customHeight="1" x14ac:dyDescent="0.3">
      <c r="A125" s="841"/>
      <c r="B125" s="841"/>
      <c r="C125" s="118"/>
      <c r="D125" s="118"/>
      <c r="E125" s="118"/>
      <c r="F125" s="118"/>
      <c r="G125" s="118"/>
      <c r="H125" s="118"/>
      <c r="I125" s="843"/>
      <c r="J125" s="844"/>
      <c r="K125" s="118"/>
      <c r="L125" s="118"/>
      <c r="M125" s="118"/>
      <c r="N125" s="841"/>
    </row>
    <row r="126" spans="1:14" ht="12.75" customHeight="1" x14ac:dyDescent="0.3">
      <c r="A126" s="841"/>
      <c r="B126" s="841"/>
      <c r="C126" s="118"/>
      <c r="D126" s="118"/>
      <c r="E126" s="118"/>
      <c r="F126" s="118"/>
      <c r="G126" s="118"/>
      <c r="H126" s="118"/>
      <c r="I126" s="843"/>
      <c r="J126" s="844"/>
      <c r="K126" s="118"/>
      <c r="L126" s="118"/>
      <c r="M126" s="118"/>
      <c r="N126" s="841"/>
    </row>
    <row r="127" spans="1:14" ht="12.75" customHeight="1" x14ac:dyDescent="0.3">
      <c r="A127" s="841"/>
      <c r="B127" s="841"/>
      <c r="C127" s="118"/>
      <c r="D127" s="118"/>
      <c r="E127" s="118"/>
      <c r="F127" s="118"/>
      <c r="G127" s="118"/>
      <c r="H127" s="118"/>
      <c r="I127" s="843"/>
      <c r="J127" s="844"/>
      <c r="K127" s="118"/>
      <c r="L127" s="118"/>
      <c r="M127" s="118"/>
      <c r="N127" s="841"/>
    </row>
    <row r="128" spans="1:14" ht="12.75" customHeight="1" x14ac:dyDescent="0.3">
      <c r="A128" s="841"/>
      <c r="B128" s="841"/>
      <c r="C128" s="118"/>
      <c r="D128" s="118"/>
      <c r="E128" s="118"/>
      <c r="F128" s="118"/>
      <c r="G128" s="118"/>
      <c r="H128" s="118"/>
      <c r="I128" s="843"/>
      <c r="J128" s="844"/>
      <c r="K128" s="118"/>
      <c r="L128" s="118"/>
      <c r="M128" s="118"/>
      <c r="N128" s="841"/>
    </row>
    <row r="129" spans="1:14" ht="12.75" customHeight="1" x14ac:dyDescent="0.3">
      <c r="A129" s="841"/>
      <c r="B129" s="841"/>
      <c r="C129" s="118"/>
      <c r="D129" s="118"/>
      <c r="E129" s="118"/>
      <c r="F129" s="118"/>
      <c r="G129" s="118"/>
      <c r="H129" s="118"/>
      <c r="I129" s="843"/>
      <c r="J129" s="844"/>
      <c r="K129" s="118"/>
      <c r="L129" s="118"/>
      <c r="M129" s="118"/>
      <c r="N129" s="841"/>
    </row>
    <row r="130" spans="1:14" ht="12.75" customHeight="1" x14ac:dyDescent="0.3">
      <c r="A130" s="841"/>
      <c r="B130" s="841"/>
      <c r="C130" s="118"/>
      <c r="D130" s="118"/>
      <c r="E130" s="118"/>
      <c r="F130" s="118"/>
      <c r="G130" s="118"/>
      <c r="H130" s="118"/>
      <c r="I130" s="843"/>
      <c r="J130" s="844"/>
      <c r="K130" s="118"/>
      <c r="L130" s="118"/>
      <c r="M130" s="118"/>
      <c r="N130" s="841"/>
    </row>
    <row r="131" spans="1:14" ht="12.75" customHeight="1" x14ac:dyDescent="0.3">
      <c r="A131" s="841"/>
      <c r="B131" s="841"/>
      <c r="C131" s="118"/>
      <c r="D131" s="118"/>
      <c r="E131" s="118"/>
      <c r="F131" s="118"/>
      <c r="G131" s="118"/>
      <c r="H131" s="118"/>
      <c r="I131" s="843"/>
      <c r="J131" s="844"/>
      <c r="K131" s="118"/>
      <c r="L131" s="118"/>
      <c r="M131" s="118"/>
      <c r="N131" s="841"/>
    </row>
    <row r="132" spans="1:14" ht="12.75" customHeight="1" x14ac:dyDescent="0.3">
      <c r="A132" s="841"/>
      <c r="B132" s="841"/>
      <c r="C132" s="118"/>
      <c r="D132" s="118"/>
      <c r="E132" s="118"/>
      <c r="F132" s="118"/>
      <c r="G132" s="118"/>
      <c r="H132" s="118"/>
      <c r="I132" s="843"/>
      <c r="J132" s="844"/>
      <c r="K132" s="118"/>
      <c r="L132" s="118"/>
      <c r="M132" s="118"/>
      <c r="N132" s="841"/>
    </row>
    <row r="133" spans="1:14" ht="12.75" customHeight="1" x14ac:dyDescent="0.3">
      <c r="A133" s="841"/>
      <c r="B133" s="841"/>
      <c r="C133" s="118"/>
      <c r="D133" s="118"/>
      <c r="E133" s="118"/>
      <c r="F133" s="118"/>
      <c r="G133" s="118"/>
      <c r="H133" s="118"/>
      <c r="I133" s="843"/>
      <c r="J133" s="844"/>
      <c r="K133" s="118"/>
      <c r="L133" s="118"/>
      <c r="M133" s="118"/>
      <c r="N133" s="841"/>
    </row>
    <row r="134" spans="1:14" ht="12.75" customHeight="1" x14ac:dyDescent="0.3">
      <c r="A134" s="841"/>
      <c r="B134" s="841"/>
      <c r="C134" s="118"/>
      <c r="D134" s="118"/>
      <c r="E134" s="118"/>
      <c r="F134" s="118"/>
      <c r="G134" s="118"/>
      <c r="H134" s="118"/>
      <c r="I134" s="843"/>
      <c r="J134" s="844"/>
      <c r="K134" s="118"/>
      <c r="L134" s="118"/>
      <c r="M134" s="118"/>
      <c r="N134" s="841"/>
    </row>
    <row r="135" spans="1:14" ht="12.75" customHeight="1" x14ac:dyDescent="0.3">
      <c r="A135" s="841"/>
      <c r="B135" s="841"/>
      <c r="C135" s="118"/>
      <c r="D135" s="118"/>
      <c r="E135" s="118"/>
      <c r="F135" s="118"/>
      <c r="G135" s="118"/>
      <c r="H135" s="118"/>
      <c r="I135" s="843"/>
      <c r="J135" s="844"/>
      <c r="K135" s="118"/>
      <c r="L135" s="118"/>
      <c r="M135" s="118"/>
      <c r="N135" s="841"/>
    </row>
    <row r="136" spans="1:14" ht="12.75" customHeight="1" x14ac:dyDescent="0.3">
      <c r="A136" s="841"/>
      <c r="B136" s="841"/>
      <c r="C136" s="118"/>
      <c r="D136" s="118"/>
      <c r="E136" s="118"/>
      <c r="F136" s="118"/>
      <c r="G136" s="118"/>
      <c r="H136" s="118"/>
      <c r="I136" s="843"/>
      <c r="J136" s="844"/>
      <c r="K136" s="118"/>
      <c r="L136" s="118"/>
      <c r="M136" s="118"/>
      <c r="N136" s="841"/>
    </row>
    <row r="137" spans="1:14" ht="12.75" customHeight="1" x14ac:dyDescent="0.3">
      <c r="A137" s="841"/>
      <c r="B137" s="841"/>
      <c r="C137" s="118"/>
      <c r="D137" s="118"/>
      <c r="E137" s="118"/>
      <c r="F137" s="118"/>
      <c r="G137" s="118"/>
      <c r="H137" s="118"/>
      <c r="I137" s="843"/>
      <c r="J137" s="844"/>
      <c r="K137" s="118"/>
      <c r="L137" s="118"/>
      <c r="M137" s="118"/>
      <c r="N137" s="841"/>
    </row>
    <row r="138" spans="1:14" ht="12.75" customHeight="1" x14ac:dyDescent="0.3">
      <c r="A138" s="841"/>
      <c r="B138" s="841"/>
      <c r="C138" s="118"/>
      <c r="D138" s="118"/>
      <c r="E138" s="118"/>
      <c r="F138" s="118"/>
      <c r="G138" s="118"/>
      <c r="H138" s="118"/>
      <c r="I138" s="843"/>
      <c r="J138" s="844"/>
      <c r="K138" s="118"/>
      <c r="L138" s="118"/>
      <c r="M138" s="118"/>
      <c r="N138" s="841"/>
    </row>
    <row r="139" spans="1:14" ht="12.75" customHeight="1" x14ac:dyDescent="0.3">
      <c r="A139" s="841"/>
      <c r="B139" s="841"/>
      <c r="C139" s="118"/>
      <c r="D139" s="118"/>
      <c r="E139" s="118"/>
      <c r="F139" s="118"/>
      <c r="G139" s="118"/>
      <c r="H139" s="118"/>
      <c r="I139" s="843"/>
      <c r="J139" s="844"/>
      <c r="K139" s="118"/>
      <c r="L139" s="118"/>
      <c r="M139" s="118"/>
      <c r="N139" s="841"/>
    </row>
    <row r="140" spans="1:14" ht="12.75" customHeight="1" x14ac:dyDescent="0.3">
      <c r="A140" s="841"/>
      <c r="B140" s="841"/>
      <c r="C140" s="118"/>
      <c r="D140" s="118"/>
      <c r="E140" s="118"/>
      <c r="F140" s="118"/>
      <c r="G140" s="118"/>
      <c r="H140" s="118"/>
      <c r="I140" s="843"/>
      <c r="J140" s="844"/>
      <c r="K140" s="118"/>
      <c r="L140" s="118"/>
      <c r="M140" s="118"/>
      <c r="N140" s="841"/>
    </row>
    <row r="141" spans="1:14" ht="12.75" customHeight="1" x14ac:dyDescent="0.3">
      <c r="A141" s="841"/>
      <c r="B141" s="841"/>
      <c r="C141" s="118"/>
      <c r="D141" s="118"/>
      <c r="E141" s="118"/>
      <c r="F141" s="118"/>
      <c r="G141" s="118"/>
      <c r="H141" s="118"/>
      <c r="I141" s="843"/>
      <c r="J141" s="844"/>
      <c r="K141" s="118"/>
      <c r="L141" s="118"/>
      <c r="M141" s="118"/>
      <c r="N141" s="841"/>
    </row>
    <row r="142" spans="1:14" ht="12.75" customHeight="1" x14ac:dyDescent="0.3">
      <c r="A142" s="841"/>
      <c r="B142" s="841"/>
      <c r="C142" s="118"/>
      <c r="D142" s="118"/>
      <c r="E142" s="118"/>
      <c r="F142" s="118"/>
      <c r="G142" s="118"/>
      <c r="H142" s="118"/>
      <c r="I142" s="843"/>
      <c r="J142" s="844"/>
      <c r="K142" s="118"/>
      <c r="L142" s="118"/>
      <c r="M142" s="118"/>
      <c r="N142" s="841"/>
    </row>
    <row r="143" spans="1:14" ht="12.75" customHeight="1" x14ac:dyDescent="0.3">
      <c r="A143" s="841"/>
      <c r="B143" s="841"/>
      <c r="C143" s="118"/>
      <c r="D143" s="118"/>
      <c r="E143" s="118"/>
      <c r="F143" s="118"/>
      <c r="G143" s="118"/>
      <c r="H143" s="118"/>
      <c r="I143" s="843"/>
      <c r="J143" s="844"/>
      <c r="K143" s="118"/>
      <c r="L143" s="118"/>
      <c r="M143" s="118"/>
      <c r="N143" s="841"/>
    </row>
    <row r="144" spans="1:14" ht="12.75" customHeight="1" x14ac:dyDescent="0.3">
      <c r="A144" s="841"/>
      <c r="B144" s="841"/>
      <c r="C144" s="118"/>
      <c r="D144" s="118"/>
      <c r="E144" s="118"/>
      <c r="F144" s="118"/>
      <c r="G144" s="118"/>
      <c r="H144" s="118"/>
      <c r="I144" s="843"/>
      <c r="J144" s="844"/>
      <c r="K144" s="118"/>
      <c r="L144" s="118"/>
      <c r="M144" s="118"/>
      <c r="N144" s="841"/>
    </row>
    <row r="145" spans="1:14" ht="12.75" customHeight="1" x14ac:dyDescent="0.3">
      <c r="A145" s="841"/>
      <c r="B145" s="841"/>
      <c r="C145" s="118"/>
      <c r="D145" s="118"/>
      <c r="E145" s="118"/>
      <c r="F145" s="118"/>
      <c r="G145" s="118"/>
      <c r="H145" s="118"/>
      <c r="I145" s="843"/>
      <c r="J145" s="844"/>
      <c r="K145" s="118"/>
      <c r="L145" s="118"/>
      <c r="M145" s="118"/>
      <c r="N145" s="841"/>
    </row>
    <row r="146" spans="1:14" ht="12.75" customHeight="1" x14ac:dyDescent="0.3">
      <c r="A146" s="841"/>
      <c r="B146" s="841"/>
      <c r="C146" s="118"/>
      <c r="D146" s="118"/>
      <c r="E146" s="118"/>
      <c r="F146" s="118"/>
      <c r="G146" s="118"/>
      <c r="H146" s="118"/>
      <c r="I146" s="843"/>
      <c r="J146" s="844"/>
      <c r="K146" s="118"/>
      <c r="L146" s="118"/>
      <c r="M146" s="118"/>
      <c r="N146" s="841"/>
    </row>
    <row r="147" spans="1:14" ht="12.75" customHeight="1" x14ac:dyDescent="0.3">
      <c r="A147" s="841"/>
      <c r="B147" s="841"/>
      <c r="C147" s="118"/>
      <c r="D147" s="118"/>
      <c r="E147" s="118"/>
      <c r="F147" s="118"/>
      <c r="G147" s="118"/>
      <c r="H147" s="118"/>
      <c r="I147" s="843"/>
      <c r="J147" s="844"/>
      <c r="K147" s="118"/>
      <c r="L147" s="118"/>
      <c r="M147" s="118"/>
      <c r="N147" s="841"/>
    </row>
    <row r="148" spans="1:14" ht="12.75" customHeight="1" x14ac:dyDescent="0.3">
      <c r="A148" s="841"/>
      <c r="B148" s="841"/>
      <c r="C148" s="118"/>
      <c r="D148" s="118"/>
      <c r="E148" s="118"/>
      <c r="F148" s="118"/>
      <c r="G148" s="118"/>
      <c r="H148" s="118"/>
      <c r="I148" s="843"/>
      <c r="J148" s="844"/>
      <c r="K148" s="118"/>
      <c r="L148" s="118"/>
      <c r="M148" s="118"/>
      <c r="N148" s="841"/>
    </row>
    <row r="149" spans="1:14" ht="12.75" customHeight="1" x14ac:dyDescent="0.3">
      <c r="A149" s="841"/>
      <c r="B149" s="841"/>
      <c r="C149" s="118"/>
      <c r="D149" s="118"/>
      <c r="E149" s="118"/>
      <c r="F149" s="118"/>
      <c r="G149" s="118"/>
      <c r="H149" s="118"/>
      <c r="I149" s="843"/>
      <c r="J149" s="844"/>
      <c r="K149" s="118"/>
      <c r="L149" s="118"/>
      <c r="M149" s="118"/>
      <c r="N149" s="841"/>
    </row>
    <row r="150" spans="1:14" ht="12.75" customHeight="1" x14ac:dyDescent="0.3">
      <c r="A150" s="841"/>
      <c r="B150" s="841"/>
      <c r="C150" s="118"/>
      <c r="D150" s="118"/>
      <c r="E150" s="118"/>
      <c r="F150" s="118"/>
      <c r="G150" s="118"/>
      <c r="H150" s="118"/>
      <c r="I150" s="843"/>
      <c r="J150" s="844"/>
      <c r="K150" s="118"/>
      <c r="L150" s="118"/>
      <c r="M150" s="118"/>
      <c r="N150" s="841"/>
    </row>
    <row r="151" spans="1:14" ht="12.75" customHeight="1" x14ac:dyDescent="0.3">
      <c r="A151" s="841"/>
      <c r="B151" s="841"/>
      <c r="C151" s="118"/>
      <c r="D151" s="118"/>
      <c r="E151" s="118"/>
      <c r="F151" s="118"/>
      <c r="G151" s="118"/>
      <c r="H151" s="118"/>
      <c r="I151" s="843"/>
      <c r="J151" s="844"/>
      <c r="K151" s="118"/>
      <c r="L151" s="118"/>
      <c r="M151" s="118"/>
      <c r="N151" s="841"/>
    </row>
    <row r="152" spans="1:14" ht="12.75" customHeight="1" x14ac:dyDescent="0.3">
      <c r="A152" s="841"/>
      <c r="B152" s="841"/>
      <c r="C152" s="118"/>
      <c r="D152" s="118"/>
      <c r="E152" s="118"/>
      <c r="F152" s="118"/>
      <c r="G152" s="118"/>
      <c r="H152" s="118"/>
      <c r="I152" s="843"/>
      <c r="J152" s="844"/>
      <c r="K152" s="118"/>
      <c r="L152" s="118"/>
      <c r="M152" s="118"/>
      <c r="N152" s="841"/>
    </row>
    <row r="153" spans="1:14" ht="12.75" customHeight="1" x14ac:dyDescent="0.3">
      <c r="A153" s="841"/>
      <c r="B153" s="841"/>
      <c r="C153" s="118"/>
      <c r="D153" s="118"/>
      <c r="E153" s="118"/>
      <c r="F153" s="118"/>
      <c r="G153" s="118"/>
      <c r="H153" s="118"/>
      <c r="I153" s="843"/>
      <c r="J153" s="844"/>
      <c r="K153" s="118"/>
      <c r="L153" s="118"/>
      <c r="M153" s="118"/>
      <c r="N153" s="841"/>
    </row>
    <row r="154" spans="1:14" ht="12.75" customHeight="1" x14ac:dyDescent="0.3">
      <c r="A154" s="841"/>
      <c r="B154" s="841"/>
      <c r="C154" s="118"/>
      <c r="D154" s="118"/>
      <c r="E154" s="118"/>
      <c r="F154" s="118"/>
      <c r="G154" s="118"/>
      <c r="H154" s="118"/>
      <c r="I154" s="843"/>
      <c r="J154" s="844"/>
      <c r="K154" s="118"/>
      <c r="L154" s="118"/>
      <c r="M154" s="118"/>
      <c r="N154" s="841"/>
    </row>
    <row r="155" spans="1:14" ht="12.75" customHeight="1" x14ac:dyDescent="0.3">
      <c r="A155" s="841"/>
      <c r="B155" s="841"/>
      <c r="C155" s="118"/>
      <c r="D155" s="118"/>
      <c r="E155" s="118"/>
      <c r="F155" s="118"/>
      <c r="G155" s="118"/>
      <c r="H155" s="118"/>
      <c r="I155" s="843"/>
      <c r="J155" s="844"/>
      <c r="K155" s="118"/>
      <c r="L155" s="118"/>
      <c r="M155" s="118"/>
      <c r="N155" s="841"/>
    </row>
    <row r="156" spans="1:14" ht="12.75" customHeight="1" x14ac:dyDescent="0.3">
      <c r="A156" s="841"/>
      <c r="B156" s="841"/>
      <c r="C156" s="118"/>
      <c r="D156" s="118"/>
      <c r="E156" s="118"/>
      <c r="F156" s="118"/>
      <c r="G156" s="118"/>
      <c r="H156" s="118"/>
      <c r="I156" s="843"/>
      <c r="J156" s="844"/>
      <c r="K156" s="118"/>
      <c r="L156" s="118"/>
      <c r="M156" s="118"/>
      <c r="N156" s="841"/>
    </row>
    <row r="157" spans="1:14" ht="12.75" customHeight="1" x14ac:dyDescent="0.3">
      <c r="A157" s="841"/>
      <c r="B157" s="841"/>
      <c r="C157" s="118"/>
      <c r="D157" s="118"/>
      <c r="E157" s="118"/>
      <c r="F157" s="118"/>
      <c r="G157" s="118"/>
      <c r="H157" s="118"/>
      <c r="I157" s="843"/>
      <c r="J157" s="844"/>
      <c r="K157" s="118"/>
      <c r="L157" s="118"/>
      <c r="M157" s="118"/>
      <c r="N157" s="841"/>
    </row>
    <row r="158" spans="1:14" ht="12.75" customHeight="1" x14ac:dyDescent="0.3">
      <c r="A158" s="841"/>
      <c r="B158" s="841"/>
      <c r="C158" s="118"/>
      <c r="D158" s="118"/>
      <c r="E158" s="118"/>
      <c r="F158" s="118"/>
      <c r="G158" s="118"/>
      <c r="H158" s="118"/>
      <c r="I158" s="843"/>
      <c r="J158" s="844"/>
      <c r="K158" s="118"/>
      <c r="L158" s="118"/>
      <c r="M158" s="118"/>
      <c r="N158" s="841"/>
    </row>
    <row r="159" spans="1:14" ht="12.75" customHeight="1" x14ac:dyDescent="0.3">
      <c r="A159" s="841"/>
      <c r="B159" s="841"/>
      <c r="C159" s="118"/>
      <c r="D159" s="118"/>
      <c r="E159" s="118"/>
      <c r="F159" s="118"/>
      <c r="G159" s="118"/>
      <c r="H159" s="118"/>
      <c r="I159" s="843"/>
      <c r="J159" s="844"/>
      <c r="K159" s="118"/>
      <c r="L159" s="118"/>
      <c r="M159" s="118"/>
      <c r="N159" s="841"/>
    </row>
    <row r="160" spans="1:14" ht="12.75" customHeight="1" x14ac:dyDescent="0.3">
      <c r="A160" s="841"/>
      <c r="B160" s="841"/>
      <c r="C160" s="118"/>
      <c r="D160" s="118"/>
      <c r="E160" s="118"/>
      <c r="F160" s="118"/>
      <c r="G160" s="118"/>
      <c r="H160" s="118"/>
      <c r="I160" s="843"/>
      <c r="J160" s="844"/>
      <c r="K160" s="118"/>
      <c r="L160" s="118"/>
      <c r="M160" s="118"/>
      <c r="N160" s="841"/>
    </row>
    <row r="161" spans="1:14" ht="12.75" customHeight="1" x14ac:dyDescent="0.3">
      <c r="A161" s="841"/>
      <c r="B161" s="841"/>
      <c r="C161" s="118"/>
      <c r="D161" s="118"/>
      <c r="E161" s="118"/>
      <c r="F161" s="118"/>
      <c r="G161" s="118"/>
      <c r="H161" s="118"/>
      <c r="I161" s="843"/>
      <c r="J161" s="844"/>
      <c r="K161" s="118"/>
      <c r="L161" s="118"/>
      <c r="M161" s="118"/>
      <c r="N161" s="841"/>
    </row>
    <row r="162" spans="1:14" ht="12.75" customHeight="1" x14ac:dyDescent="0.3">
      <c r="A162" s="841"/>
      <c r="B162" s="841"/>
      <c r="C162" s="118"/>
      <c r="D162" s="118"/>
      <c r="E162" s="118"/>
      <c r="F162" s="118"/>
      <c r="G162" s="118"/>
      <c r="H162" s="118"/>
      <c r="I162" s="843"/>
      <c r="J162" s="844"/>
      <c r="K162" s="118"/>
      <c r="L162" s="118"/>
      <c r="M162" s="118"/>
      <c r="N162" s="841"/>
    </row>
    <row r="163" spans="1:14" ht="12.75" customHeight="1" x14ac:dyDescent="0.3">
      <c r="A163" s="841"/>
      <c r="B163" s="841"/>
      <c r="C163" s="118"/>
      <c r="D163" s="118"/>
      <c r="E163" s="118"/>
      <c r="F163" s="118"/>
      <c r="G163" s="118"/>
      <c r="H163" s="118"/>
      <c r="I163" s="843"/>
      <c r="J163" s="844"/>
      <c r="K163" s="118"/>
      <c r="L163" s="118"/>
      <c r="M163" s="118"/>
      <c r="N163" s="841"/>
    </row>
    <row r="164" spans="1:14" ht="12.75" customHeight="1" x14ac:dyDescent="0.3">
      <c r="A164" s="841"/>
      <c r="B164" s="841"/>
      <c r="C164" s="118"/>
      <c r="D164" s="118"/>
      <c r="E164" s="118"/>
      <c r="F164" s="118"/>
      <c r="G164" s="118"/>
      <c r="H164" s="118"/>
      <c r="I164" s="843"/>
      <c r="J164" s="844"/>
      <c r="K164" s="118"/>
      <c r="L164" s="118"/>
      <c r="M164" s="118"/>
      <c r="N164" s="841"/>
    </row>
    <row r="165" spans="1:14" ht="12.75" customHeight="1" x14ac:dyDescent="0.3">
      <c r="A165" s="841"/>
      <c r="B165" s="841"/>
      <c r="C165" s="118"/>
      <c r="D165" s="118"/>
      <c r="E165" s="118"/>
      <c r="F165" s="118"/>
      <c r="G165" s="118"/>
      <c r="H165" s="118"/>
      <c r="I165" s="843"/>
      <c r="J165" s="844"/>
      <c r="K165" s="118"/>
      <c r="L165" s="118"/>
      <c r="M165" s="118"/>
      <c r="N165" s="841"/>
    </row>
    <row r="166" spans="1:14" ht="12.75" customHeight="1" x14ac:dyDescent="0.3">
      <c r="A166" s="841"/>
      <c r="B166" s="841"/>
      <c r="C166" s="118"/>
      <c r="D166" s="118"/>
      <c r="E166" s="118"/>
      <c r="F166" s="118"/>
      <c r="G166" s="118"/>
      <c r="H166" s="118"/>
      <c r="I166" s="843"/>
      <c r="J166" s="844"/>
      <c r="K166" s="118"/>
      <c r="L166" s="118"/>
      <c r="M166" s="118"/>
      <c r="N166" s="841"/>
    </row>
    <row r="167" spans="1:14" ht="12.75" customHeight="1" x14ac:dyDescent="0.3">
      <c r="A167" s="841"/>
      <c r="B167" s="841"/>
      <c r="C167" s="118"/>
      <c r="D167" s="118"/>
      <c r="E167" s="118"/>
      <c r="F167" s="118"/>
      <c r="G167" s="118"/>
      <c r="H167" s="118"/>
      <c r="I167" s="843"/>
      <c r="J167" s="844"/>
      <c r="K167" s="118"/>
      <c r="L167" s="118"/>
      <c r="M167" s="118"/>
      <c r="N167" s="841"/>
    </row>
    <row r="168" spans="1:14" ht="12.75" customHeight="1" x14ac:dyDescent="0.3">
      <c r="A168" s="841"/>
      <c r="B168" s="841"/>
      <c r="C168" s="118"/>
      <c r="D168" s="118"/>
      <c r="E168" s="118"/>
      <c r="F168" s="118"/>
      <c r="G168" s="118"/>
      <c r="H168" s="118"/>
      <c r="I168" s="843"/>
      <c r="J168" s="844"/>
      <c r="K168" s="118"/>
      <c r="L168" s="118"/>
      <c r="M168" s="118"/>
      <c r="N168" s="841"/>
    </row>
    <row r="169" spans="1:14" ht="12.75" customHeight="1" x14ac:dyDescent="0.3">
      <c r="A169" s="841"/>
      <c r="B169" s="841"/>
      <c r="C169" s="118"/>
      <c r="D169" s="118"/>
      <c r="E169" s="118"/>
      <c r="F169" s="118"/>
      <c r="G169" s="118"/>
      <c r="H169" s="118"/>
      <c r="I169" s="843"/>
      <c r="J169" s="844"/>
      <c r="K169" s="118"/>
      <c r="L169" s="118"/>
      <c r="M169" s="118"/>
      <c r="N169" s="841"/>
    </row>
    <row r="170" spans="1:14" ht="12.75" customHeight="1" x14ac:dyDescent="0.3">
      <c r="A170" s="841"/>
      <c r="B170" s="841"/>
      <c r="C170" s="118"/>
      <c r="D170" s="118"/>
      <c r="E170" s="118"/>
      <c r="F170" s="118"/>
      <c r="G170" s="118"/>
      <c r="H170" s="118"/>
      <c r="I170" s="843"/>
      <c r="J170" s="844"/>
      <c r="K170" s="118"/>
      <c r="L170" s="118"/>
      <c r="M170" s="118"/>
      <c r="N170" s="841"/>
    </row>
    <row r="171" spans="1:14" ht="12.75" customHeight="1" x14ac:dyDescent="0.3">
      <c r="A171" s="841"/>
      <c r="B171" s="841"/>
      <c r="C171" s="118"/>
      <c r="D171" s="118"/>
      <c r="E171" s="118"/>
      <c r="F171" s="118"/>
      <c r="G171" s="118"/>
      <c r="H171" s="118"/>
      <c r="I171" s="843"/>
      <c r="J171" s="844"/>
      <c r="K171" s="118"/>
      <c r="L171" s="118"/>
      <c r="M171" s="118"/>
      <c r="N171" s="841"/>
    </row>
    <row r="172" spans="1:14" ht="12.75" customHeight="1" x14ac:dyDescent="0.3">
      <c r="A172" s="841"/>
      <c r="B172" s="841"/>
      <c r="C172" s="118"/>
      <c r="D172" s="118"/>
      <c r="E172" s="118"/>
      <c r="F172" s="118"/>
      <c r="G172" s="118"/>
      <c r="H172" s="118"/>
      <c r="I172" s="843"/>
      <c r="J172" s="844"/>
      <c r="K172" s="118"/>
      <c r="L172" s="118"/>
      <c r="M172" s="118"/>
      <c r="N172" s="841"/>
    </row>
    <row r="173" spans="1:14" ht="12.75" customHeight="1" x14ac:dyDescent="0.3">
      <c r="A173" s="841"/>
      <c r="B173" s="841"/>
      <c r="C173" s="118"/>
      <c r="D173" s="118"/>
      <c r="E173" s="118"/>
      <c r="F173" s="118"/>
      <c r="G173" s="118"/>
      <c r="H173" s="118"/>
      <c r="I173" s="843"/>
      <c r="J173" s="844"/>
      <c r="K173" s="118"/>
      <c r="L173" s="118"/>
      <c r="M173" s="118"/>
      <c r="N173" s="841"/>
    </row>
    <row r="174" spans="1:14" ht="12.75" customHeight="1" x14ac:dyDescent="0.3">
      <c r="A174" s="841"/>
      <c r="B174" s="841"/>
      <c r="C174" s="118"/>
      <c r="D174" s="118"/>
      <c r="E174" s="118"/>
      <c r="F174" s="118"/>
      <c r="G174" s="118"/>
      <c r="H174" s="118"/>
      <c r="I174" s="843"/>
      <c r="J174" s="844"/>
      <c r="K174" s="118"/>
      <c r="L174" s="118"/>
      <c r="M174" s="118"/>
      <c r="N174" s="841"/>
    </row>
    <row r="175" spans="1:14" ht="12.75" customHeight="1" x14ac:dyDescent="0.3">
      <c r="A175" s="841"/>
      <c r="B175" s="841"/>
      <c r="C175" s="118"/>
      <c r="D175" s="118"/>
      <c r="E175" s="118"/>
      <c r="F175" s="118"/>
      <c r="G175" s="118"/>
      <c r="H175" s="118"/>
      <c r="I175" s="843"/>
      <c r="J175" s="844"/>
      <c r="K175" s="118"/>
      <c r="L175" s="118"/>
      <c r="M175" s="118"/>
      <c r="N175" s="841"/>
    </row>
    <row r="176" spans="1:14" ht="12.75" customHeight="1" x14ac:dyDescent="0.3">
      <c r="A176" s="841"/>
      <c r="B176" s="841"/>
      <c r="C176" s="118"/>
      <c r="D176" s="118"/>
      <c r="E176" s="118"/>
      <c r="F176" s="118"/>
      <c r="G176" s="118"/>
      <c r="H176" s="118"/>
      <c r="I176" s="843"/>
      <c r="J176" s="844"/>
      <c r="K176" s="118"/>
      <c r="L176" s="118"/>
      <c r="M176" s="118"/>
      <c r="N176" s="841"/>
    </row>
    <row r="177" spans="1:14" ht="12.75" customHeight="1" x14ac:dyDescent="0.3">
      <c r="A177" s="841"/>
      <c r="B177" s="841"/>
      <c r="C177" s="118"/>
      <c r="D177" s="118"/>
      <c r="E177" s="118"/>
      <c r="F177" s="118"/>
      <c r="G177" s="118"/>
      <c r="H177" s="118"/>
      <c r="I177" s="843"/>
      <c r="J177" s="844"/>
      <c r="K177" s="118"/>
      <c r="L177" s="118"/>
      <c r="M177" s="118"/>
      <c r="N177" s="841"/>
    </row>
    <row r="178" spans="1:14" ht="12.75" customHeight="1" x14ac:dyDescent="0.3">
      <c r="A178" s="841"/>
      <c r="B178" s="841"/>
      <c r="C178" s="118"/>
      <c r="D178" s="118"/>
      <c r="E178" s="118"/>
      <c r="F178" s="118"/>
      <c r="G178" s="118"/>
      <c r="H178" s="118"/>
      <c r="I178" s="843"/>
      <c r="J178" s="844"/>
      <c r="K178" s="118"/>
      <c r="L178" s="118"/>
      <c r="M178" s="118"/>
      <c r="N178" s="841"/>
    </row>
    <row r="179" spans="1:14" ht="12.75" customHeight="1" x14ac:dyDescent="0.3">
      <c r="A179" s="841"/>
      <c r="B179" s="841"/>
      <c r="C179" s="118"/>
      <c r="D179" s="118"/>
      <c r="E179" s="118"/>
      <c r="F179" s="118"/>
      <c r="G179" s="118"/>
      <c r="H179" s="118"/>
      <c r="I179" s="843"/>
      <c r="J179" s="844"/>
      <c r="K179" s="118"/>
      <c r="L179" s="118"/>
      <c r="M179" s="118"/>
      <c r="N179" s="841"/>
    </row>
    <row r="180" spans="1:14" ht="12.75" customHeight="1" x14ac:dyDescent="0.3">
      <c r="A180" s="841"/>
      <c r="B180" s="841"/>
      <c r="C180" s="118"/>
      <c r="D180" s="118"/>
      <c r="E180" s="118"/>
      <c r="F180" s="118"/>
      <c r="G180" s="118"/>
      <c r="H180" s="118"/>
      <c r="I180" s="843"/>
      <c r="J180" s="844"/>
      <c r="K180" s="118"/>
      <c r="L180" s="118"/>
      <c r="M180" s="118"/>
      <c r="N180" s="841"/>
    </row>
    <row r="181" spans="1:14" ht="12.75" customHeight="1" x14ac:dyDescent="0.3">
      <c r="A181" s="841"/>
      <c r="B181" s="841"/>
      <c r="C181" s="118"/>
      <c r="D181" s="118"/>
      <c r="E181" s="118"/>
      <c r="F181" s="118"/>
      <c r="G181" s="118"/>
      <c r="H181" s="118"/>
      <c r="I181" s="843"/>
      <c r="J181" s="844"/>
      <c r="K181" s="118"/>
      <c r="L181" s="118"/>
      <c r="M181" s="118"/>
      <c r="N181" s="841"/>
    </row>
    <row r="182" spans="1:14" ht="12.75" customHeight="1" x14ac:dyDescent="0.3">
      <c r="A182" s="841"/>
      <c r="B182" s="841"/>
      <c r="C182" s="118"/>
      <c r="D182" s="118"/>
      <c r="E182" s="118"/>
      <c r="F182" s="118"/>
      <c r="G182" s="118"/>
      <c r="H182" s="118"/>
      <c r="I182" s="843"/>
      <c r="J182" s="844"/>
      <c r="K182" s="118"/>
      <c r="L182" s="118"/>
      <c r="M182" s="118"/>
      <c r="N182" s="841"/>
    </row>
    <row r="183" spans="1:14" ht="12.75" customHeight="1" x14ac:dyDescent="0.3">
      <c r="A183" s="841"/>
      <c r="B183" s="841"/>
      <c r="C183" s="118"/>
      <c r="D183" s="118"/>
      <c r="E183" s="118"/>
      <c r="F183" s="118"/>
      <c r="G183" s="118"/>
      <c r="H183" s="118"/>
      <c r="I183" s="843"/>
      <c r="J183" s="844"/>
      <c r="K183" s="118"/>
      <c r="L183" s="118"/>
      <c r="M183" s="118"/>
      <c r="N183" s="841"/>
    </row>
    <row r="184" spans="1:14" ht="12.75" customHeight="1" x14ac:dyDescent="0.3">
      <c r="A184" s="841"/>
      <c r="B184" s="841"/>
      <c r="C184" s="118"/>
      <c r="D184" s="118"/>
      <c r="E184" s="118"/>
      <c r="F184" s="118"/>
      <c r="G184" s="118"/>
      <c r="H184" s="118"/>
      <c r="I184" s="843"/>
      <c r="J184" s="844"/>
      <c r="K184" s="118"/>
      <c r="L184" s="118"/>
      <c r="M184" s="118"/>
      <c r="N184" s="841"/>
    </row>
    <row r="185" spans="1:14" ht="12.75" customHeight="1" x14ac:dyDescent="0.3">
      <c r="A185" s="841"/>
      <c r="B185" s="841"/>
      <c r="C185" s="118"/>
      <c r="D185" s="118"/>
      <c r="E185" s="118"/>
      <c r="F185" s="118"/>
      <c r="G185" s="118"/>
      <c r="H185" s="118"/>
      <c r="I185" s="843"/>
      <c r="J185" s="844"/>
      <c r="K185" s="118"/>
      <c r="L185" s="118"/>
      <c r="M185" s="118"/>
      <c r="N185" s="841"/>
    </row>
    <row r="186" spans="1:14" ht="12.75" customHeight="1" x14ac:dyDescent="0.3">
      <c r="A186" s="841"/>
      <c r="B186" s="841"/>
      <c r="C186" s="118"/>
      <c r="D186" s="118"/>
      <c r="E186" s="118"/>
      <c r="F186" s="118"/>
      <c r="G186" s="118"/>
      <c r="H186" s="118"/>
      <c r="I186" s="843"/>
      <c r="J186" s="844"/>
      <c r="K186" s="118"/>
      <c r="L186" s="118"/>
      <c r="M186" s="118"/>
      <c r="N186" s="841"/>
    </row>
    <row r="187" spans="1:14" ht="12.75" customHeight="1" x14ac:dyDescent="0.3">
      <c r="A187" s="841"/>
      <c r="B187" s="841"/>
      <c r="C187" s="118"/>
      <c r="D187" s="118"/>
      <c r="E187" s="118"/>
      <c r="F187" s="118"/>
      <c r="G187" s="118"/>
      <c r="H187" s="118"/>
      <c r="I187" s="843"/>
      <c r="J187" s="844"/>
      <c r="K187" s="118"/>
      <c r="L187" s="118"/>
      <c r="M187" s="118"/>
      <c r="N187" s="841"/>
    </row>
    <row r="188" spans="1:14" ht="12.75" customHeight="1" x14ac:dyDescent="0.3">
      <c r="A188" s="841"/>
      <c r="B188" s="841"/>
      <c r="C188" s="118"/>
      <c r="D188" s="118"/>
      <c r="E188" s="118"/>
      <c r="F188" s="118"/>
      <c r="G188" s="118"/>
      <c r="H188" s="118"/>
      <c r="I188" s="843"/>
      <c r="J188" s="844"/>
      <c r="K188" s="118"/>
      <c r="L188" s="118"/>
      <c r="M188" s="118"/>
      <c r="N188" s="841"/>
    </row>
    <row r="189" spans="1:14" ht="12.75" customHeight="1" x14ac:dyDescent="0.3">
      <c r="A189" s="841"/>
      <c r="B189" s="841"/>
      <c r="C189" s="118"/>
      <c r="D189" s="118"/>
      <c r="E189" s="118"/>
      <c r="F189" s="118"/>
      <c r="G189" s="118"/>
      <c r="H189" s="118"/>
      <c r="I189" s="843"/>
      <c r="J189" s="844"/>
      <c r="K189" s="118"/>
      <c r="L189" s="118"/>
      <c r="M189" s="118"/>
      <c r="N189" s="841"/>
    </row>
    <row r="190" spans="1:14" ht="12.75" customHeight="1" x14ac:dyDescent="0.3">
      <c r="A190" s="841"/>
      <c r="B190" s="841"/>
      <c r="C190" s="118"/>
      <c r="D190" s="118"/>
      <c r="E190" s="118"/>
      <c r="F190" s="118"/>
      <c r="G190" s="118"/>
      <c r="H190" s="118"/>
      <c r="I190" s="843"/>
      <c r="J190" s="844"/>
      <c r="K190" s="118"/>
      <c r="L190" s="118"/>
      <c r="M190" s="118"/>
      <c r="N190" s="841"/>
    </row>
    <row r="191" spans="1:14" ht="12.75" customHeight="1" x14ac:dyDescent="0.3">
      <c r="A191" s="841"/>
      <c r="B191" s="841"/>
      <c r="C191" s="118"/>
      <c r="D191" s="118"/>
      <c r="E191" s="118"/>
      <c r="F191" s="118"/>
      <c r="G191" s="118"/>
      <c r="H191" s="118"/>
      <c r="I191" s="843"/>
      <c r="J191" s="844"/>
      <c r="K191" s="118"/>
      <c r="L191" s="118"/>
      <c r="M191" s="118"/>
      <c r="N191" s="841"/>
    </row>
    <row r="192" spans="1:14" ht="12.75" customHeight="1" x14ac:dyDescent="0.3">
      <c r="A192" s="841"/>
      <c r="B192" s="841"/>
      <c r="C192" s="118"/>
      <c r="D192" s="118"/>
      <c r="E192" s="118"/>
      <c r="F192" s="118"/>
      <c r="G192" s="118"/>
      <c r="H192" s="118"/>
      <c r="I192" s="843"/>
      <c r="J192" s="844"/>
      <c r="K192" s="118"/>
      <c r="L192" s="118"/>
      <c r="M192" s="118"/>
      <c r="N192" s="841"/>
    </row>
    <row r="193" spans="1:14" ht="12.75" customHeight="1" x14ac:dyDescent="0.3">
      <c r="A193" s="841"/>
      <c r="B193" s="841"/>
      <c r="C193" s="118"/>
      <c r="D193" s="118"/>
      <c r="E193" s="118"/>
      <c r="F193" s="118"/>
      <c r="G193" s="118"/>
      <c r="H193" s="118"/>
      <c r="I193" s="843"/>
      <c r="J193" s="844"/>
      <c r="K193" s="118"/>
      <c r="L193" s="118"/>
      <c r="M193" s="118"/>
      <c r="N193" s="841"/>
    </row>
    <row r="194" spans="1:14" ht="12.75" customHeight="1" x14ac:dyDescent="0.3">
      <c r="A194" s="841"/>
      <c r="B194" s="841"/>
      <c r="C194" s="118"/>
      <c r="D194" s="118"/>
      <c r="E194" s="118"/>
      <c r="F194" s="118"/>
      <c r="G194" s="118"/>
      <c r="H194" s="118"/>
      <c r="I194" s="843"/>
      <c r="J194" s="844"/>
      <c r="K194" s="118"/>
      <c r="L194" s="118"/>
      <c r="M194" s="118"/>
      <c r="N194" s="841"/>
    </row>
    <row r="195" spans="1:14" ht="12.75" customHeight="1" x14ac:dyDescent="0.3">
      <c r="A195" s="841"/>
      <c r="B195" s="841"/>
      <c r="C195" s="118"/>
      <c r="D195" s="118"/>
      <c r="E195" s="118"/>
      <c r="F195" s="118"/>
      <c r="G195" s="118"/>
      <c r="H195" s="118"/>
      <c r="I195" s="843"/>
      <c r="J195" s="844"/>
      <c r="K195" s="118"/>
      <c r="L195" s="118"/>
      <c r="M195" s="118"/>
      <c r="N195" s="841"/>
    </row>
    <row r="196" spans="1:14" ht="12.75" customHeight="1" x14ac:dyDescent="0.3">
      <c r="A196" s="841"/>
      <c r="B196" s="841"/>
      <c r="C196" s="118"/>
      <c r="D196" s="118"/>
      <c r="E196" s="118"/>
      <c r="F196" s="118"/>
      <c r="G196" s="118"/>
      <c r="H196" s="118"/>
      <c r="I196" s="843"/>
      <c r="J196" s="844"/>
      <c r="K196" s="118"/>
      <c r="L196" s="118"/>
      <c r="M196" s="118"/>
      <c r="N196" s="841"/>
    </row>
    <row r="197" spans="1:14" ht="12.75" customHeight="1" x14ac:dyDescent="0.3">
      <c r="A197" s="841"/>
      <c r="B197" s="841"/>
      <c r="C197" s="118"/>
      <c r="D197" s="118"/>
      <c r="E197" s="118"/>
      <c r="F197" s="118"/>
      <c r="G197" s="118"/>
      <c r="H197" s="118"/>
      <c r="I197" s="843"/>
      <c r="J197" s="844"/>
      <c r="K197" s="118"/>
      <c r="L197" s="118"/>
      <c r="M197" s="118"/>
      <c r="N197" s="841"/>
    </row>
    <row r="198" spans="1:14" ht="12.75" customHeight="1" x14ac:dyDescent="0.3">
      <c r="A198" s="841"/>
      <c r="B198" s="841"/>
      <c r="C198" s="118"/>
      <c r="D198" s="118"/>
      <c r="E198" s="118"/>
      <c r="F198" s="118"/>
      <c r="G198" s="118"/>
      <c r="H198" s="118"/>
      <c r="I198" s="843"/>
      <c r="J198" s="844"/>
      <c r="K198" s="118"/>
      <c r="L198" s="118"/>
      <c r="M198" s="118"/>
      <c r="N198" s="841"/>
    </row>
    <row r="199" spans="1:14" ht="12.75" customHeight="1" x14ac:dyDescent="0.3">
      <c r="A199" s="841"/>
      <c r="B199" s="841"/>
      <c r="C199" s="118"/>
      <c r="D199" s="118"/>
      <c r="E199" s="118"/>
      <c r="F199" s="118"/>
      <c r="G199" s="118"/>
      <c r="H199" s="118"/>
      <c r="I199" s="843"/>
      <c r="J199" s="844"/>
      <c r="K199" s="118"/>
      <c r="L199" s="118"/>
      <c r="M199" s="118"/>
      <c r="N199" s="841"/>
    </row>
    <row r="200" spans="1:14" ht="12.75" customHeight="1" x14ac:dyDescent="0.3">
      <c r="A200" s="841"/>
      <c r="B200" s="841"/>
      <c r="C200" s="118"/>
      <c r="D200" s="118"/>
      <c r="E200" s="118"/>
      <c r="F200" s="118"/>
      <c r="G200" s="118"/>
      <c r="H200" s="118"/>
      <c r="I200" s="843"/>
      <c r="J200" s="844"/>
      <c r="K200" s="118"/>
      <c r="L200" s="118"/>
      <c r="M200" s="118"/>
      <c r="N200" s="841"/>
    </row>
    <row r="201" spans="1:14" ht="12.75" customHeight="1" x14ac:dyDescent="0.3">
      <c r="A201" s="841"/>
      <c r="B201" s="841"/>
      <c r="C201" s="118"/>
      <c r="D201" s="118"/>
      <c r="E201" s="118"/>
      <c r="F201" s="118"/>
      <c r="G201" s="118"/>
      <c r="H201" s="118"/>
      <c r="I201" s="843"/>
      <c r="J201" s="844"/>
      <c r="K201" s="118"/>
      <c r="L201" s="118"/>
      <c r="M201" s="118"/>
      <c r="N201" s="841"/>
    </row>
    <row r="202" spans="1:14" ht="12.75" customHeight="1" x14ac:dyDescent="0.3">
      <c r="A202" s="841"/>
      <c r="B202" s="841"/>
      <c r="C202" s="118"/>
      <c r="D202" s="118"/>
      <c r="E202" s="118"/>
      <c r="F202" s="118"/>
      <c r="G202" s="118"/>
      <c r="H202" s="118"/>
      <c r="I202" s="843"/>
      <c r="J202" s="844"/>
      <c r="K202" s="118"/>
      <c r="L202" s="118"/>
      <c r="M202" s="118"/>
      <c r="N202" s="841"/>
    </row>
    <row r="203" spans="1:14" ht="12.75" customHeight="1" x14ac:dyDescent="0.3">
      <c r="A203" s="841"/>
      <c r="B203" s="841"/>
      <c r="C203" s="118"/>
      <c r="D203" s="118"/>
      <c r="E203" s="118"/>
      <c r="F203" s="118"/>
      <c r="G203" s="118"/>
      <c r="H203" s="118"/>
      <c r="I203" s="843"/>
      <c r="J203" s="844"/>
      <c r="K203" s="118"/>
      <c r="L203" s="118"/>
      <c r="M203" s="118"/>
      <c r="N203" s="841"/>
    </row>
    <row r="204" spans="1:14" ht="12.75" customHeight="1" x14ac:dyDescent="0.3">
      <c r="A204" s="841"/>
      <c r="B204" s="841"/>
      <c r="C204" s="118"/>
      <c r="D204" s="118"/>
      <c r="E204" s="118"/>
      <c r="F204" s="118"/>
      <c r="G204" s="118"/>
      <c r="H204" s="118"/>
      <c r="I204" s="843"/>
      <c r="J204" s="844"/>
      <c r="K204" s="118"/>
      <c r="L204" s="118"/>
      <c r="M204" s="118"/>
      <c r="N204" s="841"/>
    </row>
    <row r="205" spans="1:14" ht="12.75" customHeight="1" x14ac:dyDescent="0.3">
      <c r="A205" s="841"/>
      <c r="B205" s="841"/>
      <c r="C205" s="118"/>
      <c r="D205" s="118"/>
      <c r="E205" s="118"/>
      <c r="F205" s="118"/>
      <c r="G205" s="118"/>
      <c r="H205" s="118"/>
      <c r="I205" s="843"/>
      <c r="J205" s="844"/>
      <c r="K205" s="118"/>
      <c r="L205" s="118"/>
      <c r="M205" s="118"/>
      <c r="N205" s="841"/>
    </row>
    <row r="206" spans="1:14" ht="12.75" customHeight="1" x14ac:dyDescent="0.3">
      <c r="A206" s="841"/>
      <c r="B206" s="841"/>
      <c r="C206" s="118"/>
      <c r="D206" s="118"/>
      <c r="E206" s="118"/>
      <c r="F206" s="118"/>
      <c r="G206" s="118"/>
      <c r="H206" s="118"/>
      <c r="I206" s="843"/>
      <c r="J206" s="844"/>
      <c r="K206" s="118"/>
      <c r="L206" s="118"/>
      <c r="M206" s="118"/>
      <c r="N206" s="841"/>
    </row>
    <row r="207" spans="1:14" ht="12.75" customHeight="1" x14ac:dyDescent="0.3">
      <c r="A207" s="841"/>
      <c r="B207" s="841"/>
      <c r="C207" s="118"/>
      <c r="D207" s="118"/>
      <c r="E207" s="118"/>
      <c r="F207" s="118"/>
      <c r="G207" s="118"/>
      <c r="H207" s="118"/>
      <c r="I207" s="843"/>
      <c r="J207" s="844"/>
      <c r="K207" s="118"/>
      <c r="L207" s="118"/>
      <c r="M207" s="118"/>
      <c r="N207" s="841"/>
    </row>
    <row r="208" spans="1:14" ht="12.75" customHeight="1" x14ac:dyDescent="0.3">
      <c r="A208" s="841"/>
      <c r="B208" s="841"/>
      <c r="C208" s="118"/>
      <c r="D208" s="118"/>
      <c r="E208" s="118"/>
      <c r="F208" s="118"/>
      <c r="G208" s="118"/>
      <c r="H208" s="118"/>
      <c r="I208" s="843"/>
      <c r="J208" s="844"/>
      <c r="K208" s="118"/>
      <c r="L208" s="118"/>
      <c r="M208" s="118"/>
      <c r="N208" s="841"/>
    </row>
    <row r="209" spans="1:14" ht="12.75" customHeight="1" x14ac:dyDescent="0.3">
      <c r="A209" s="841"/>
      <c r="B209" s="841"/>
      <c r="C209" s="118"/>
      <c r="D209" s="118"/>
      <c r="E209" s="118"/>
      <c r="F209" s="118"/>
      <c r="G209" s="118"/>
      <c r="H209" s="118"/>
      <c r="I209" s="843"/>
      <c r="J209" s="844"/>
      <c r="K209" s="118"/>
      <c r="L209" s="118"/>
      <c r="M209" s="118"/>
      <c r="N209" s="841"/>
    </row>
    <row r="210" spans="1:14" ht="12.75" customHeight="1" x14ac:dyDescent="0.3">
      <c r="A210" s="841"/>
      <c r="B210" s="841"/>
      <c r="C210" s="118"/>
      <c r="D210" s="118"/>
      <c r="E210" s="118"/>
      <c r="F210" s="118"/>
      <c r="G210" s="118"/>
      <c r="H210" s="118"/>
      <c r="I210" s="843"/>
      <c r="J210" s="844"/>
      <c r="K210" s="118"/>
      <c r="L210" s="118"/>
      <c r="M210" s="118"/>
      <c r="N210" s="841"/>
    </row>
    <row r="211" spans="1:14" ht="12.75" customHeight="1" x14ac:dyDescent="0.3">
      <c r="A211" s="841"/>
      <c r="B211" s="841"/>
      <c r="C211" s="118"/>
      <c r="D211" s="118"/>
      <c r="E211" s="118"/>
      <c r="F211" s="118"/>
      <c r="G211" s="118"/>
      <c r="H211" s="118"/>
      <c r="I211" s="843"/>
      <c r="J211" s="844"/>
      <c r="K211" s="118"/>
      <c r="L211" s="118"/>
      <c r="M211" s="118"/>
      <c r="N211" s="841"/>
    </row>
    <row r="212" spans="1:14" ht="12.75" customHeight="1" x14ac:dyDescent="0.3">
      <c r="A212" s="841"/>
      <c r="B212" s="841"/>
      <c r="C212" s="118"/>
      <c r="D212" s="118"/>
      <c r="E212" s="118"/>
      <c r="F212" s="118"/>
      <c r="G212" s="118"/>
      <c r="H212" s="118"/>
      <c r="I212" s="843"/>
      <c r="J212" s="844"/>
      <c r="K212" s="118"/>
      <c r="L212" s="118"/>
      <c r="M212" s="118"/>
      <c r="N212" s="841"/>
    </row>
    <row r="213" spans="1:14" ht="12.75" customHeight="1" x14ac:dyDescent="0.3">
      <c r="A213" s="841"/>
      <c r="B213" s="841"/>
      <c r="C213" s="118"/>
      <c r="D213" s="118"/>
      <c r="E213" s="118"/>
      <c r="F213" s="118"/>
      <c r="G213" s="118"/>
      <c r="H213" s="118"/>
      <c r="I213" s="843"/>
      <c r="J213" s="844"/>
      <c r="K213" s="118"/>
      <c r="L213" s="118"/>
      <c r="M213" s="118"/>
      <c r="N213" s="841"/>
    </row>
    <row r="214" spans="1:14" ht="12.75" customHeight="1" x14ac:dyDescent="0.3">
      <c r="A214" s="841"/>
      <c r="B214" s="841"/>
      <c r="C214" s="118"/>
      <c r="D214" s="118"/>
      <c r="E214" s="118"/>
      <c r="F214" s="118"/>
      <c r="G214" s="118"/>
      <c r="H214" s="118"/>
      <c r="I214" s="843"/>
      <c r="J214" s="844"/>
      <c r="K214" s="118"/>
      <c r="L214" s="118"/>
      <c r="M214" s="118"/>
      <c r="N214" s="841"/>
    </row>
    <row r="215" spans="1:14" ht="12.75" customHeight="1" x14ac:dyDescent="0.3">
      <c r="A215" s="841"/>
      <c r="B215" s="841"/>
      <c r="C215" s="118"/>
      <c r="D215" s="118"/>
      <c r="E215" s="118"/>
      <c r="F215" s="118"/>
      <c r="G215" s="118"/>
      <c r="H215" s="118"/>
      <c r="I215" s="843"/>
      <c r="J215" s="844"/>
      <c r="K215" s="118"/>
      <c r="L215" s="118"/>
      <c r="M215" s="118"/>
      <c r="N215" s="841"/>
    </row>
    <row r="216" spans="1:14" ht="12.75" customHeight="1" x14ac:dyDescent="0.3">
      <c r="A216" s="841"/>
      <c r="B216" s="841"/>
      <c r="C216" s="118"/>
      <c r="D216" s="118"/>
      <c r="E216" s="118"/>
      <c r="F216" s="118"/>
      <c r="G216" s="118"/>
      <c r="H216" s="118"/>
      <c r="I216" s="843"/>
      <c r="J216" s="844"/>
      <c r="K216" s="118"/>
      <c r="L216" s="118"/>
      <c r="M216" s="118"/>
      <c r="N216" s="841"/>
    </row>
    <row r="217" spans="1:14" ht="12.75" customHeight="1" x14ac:dyDescent="0.3">
      <c r="A217" s="841"/>
      <c r="B217" s="841"/>
      <c r="C217" s="118"/>
      <c r="D217" s="118"/>
      <c r="E217" s="118"/>
      <c r="F217" s="118"/>
      <c r="G217" s="118"/>
      <c r="H217" s="118"/>
      <c r="I217" s="843"/>
      <c r="J217" s="844"/>
      <c r="K217" s="118"/>
      <c r="L217" s="118"/>
      <c r="M217" s="118"/>
      <c r="N217" s="841"/>
    </row>
    <row r="218" spans="1:14" ht="12.75" customHeight="1" x14ac:dyDescent="0.3">
      <c r="A218" s="841"/>
      <c r="B218" s="841"/>
      <c r="C218" s="118"/>
      <c r="D218" s="118"/>
      <c r="E218" s="118"/>
      <c r="F218" s="118"/>
      <c r="G218" s="118"/>
      <c r="H218" s="118"/>
      <c r="I218" s="843"/>
      <c r="J218" s="844"/>
      <c r="K218" s="118"/>
      <c r="L218" s="118"/>
      <c r="M218" s="118"/>
      <c r="N218" s="841"/>
    </row>
    <row r="219" spans="1:14" ht="12.75" customHeight="1" x14ac:dyDescent="0.3">
      <c r="A219" s="841"/>
      <c r="B219" s="841"/>
      <c r="C219" s="118"/>
      <c r="D219" s="118"/>
      <c r="E219" s="118"/>
      <c r="F219" s="118"/>
      <c r="G219" s="118"/>
      <c r="H219" s="118"/>
      <c r="I219" s="843"/>
      <c r="J219" s="844"/>
      <c r="K219" s="118"/>
      <c r="L219" s="118"/>
      <c r="M219" s="118"/>
      <c r="N219" s="841"/>
    </row>
    <row r="220" spans="1:14" ht="12.75" customHeight="1" x14ac:dyDescent="0.3">
      <c r="A220" s="841"/>
      <c r="B220" s="841"/>
      <c r="C220" s="118"/>
      <c r="D220" s="118"/>
      <c r="E220" s="118"/>
      <c r="F220" s="118"/>
      <c r="G220" s="118"/>
      <c r="H220" s="118"/>
      <c r="I220" s="843"/>
      <c r="J220" s="844"/>
      <c r="K220" s="118"/>
      <c r="L220" s="118"/>
      <c r="M220" s="118"/>
      <c r="N220" s="841"/>
    </row>
    <row r="221" spans="1:14" ht="12.75" customHeight="1" x14ac:dyDescent="0.3">
      <c r="A221" s="841"/>
      <c r="B221" s="841"/>
      <c r="C221" s="118"/>
      <c r="D221" s="118"/>
      <c r="E221" s="118"/>
      <c r="F221" s="118"/>
      <c r="G221" s="118"/>
      <c r="H221" s="118"/>
      <c r="I221" s="843"/>
      <c r="J221" s="844"/>
      <c r="K221" s="118"/>
      <c r="L221" s="118"/>
      <c r="M221" s="118"/>
      <c r="N221" s="841"/>
    </row>
    <row r="222" spans="1:14" ht="12.75" customHeight="1" x14ac:dyDescent="0.3">
      <c r="A222" s="841"/>
      <c r="B222" s="841"/>
      <c r="C222" s="118"/>
      <c r="D222" s="118"/>
      <c r="E222" s="118"/>
      <c r="F222" s="118"/>
      <c r="G222" s="118"/>
      <c r="H222" s="118"/>
      <c r="I222" s="843"/>
      <c r="J222" s="844"/>
      <c r="K222" s="118"/>
      <c r="L222" s="118"/>
      <c r="M222" s="118"/>
      <c r="N222" s="841"/>
    </row>
    <row r="223" spans="1:14" ht="12.75" customHeight="1" x14ac:dyDescent="0.3">
      <c r="A223" s="841"/>
      <c r="B223" s="841"/>
      <c r="C223" s="118"/>
      <c r="D223" s="118"/>
      <c r="E223" s="118"/>
      <c r="F223" s="118"/>
      <c r="G223" s="118"/>
      <c r="H223" s="118"/>
      <c r="I223" s="843"/>
      <c r="J223" s="844"/>
      <c r="K223" s="118"/>
      <c r="L223" s="118"/>
      <c r="M223" s="118"/>
      <c r="N223" s="841"/>
    </row>
    <row r="224" spans="1:14" ht="12.75" customHeight="1" x14ac:dyDescent="0.3">
      <c r="A224" s="841"/>
      <c r="B224" s="841"/>
      <c r="C224" s="118"/>
      <c r="D224" s="118"/>
      <c r="E224" s="118"/>
      <c r="F224" s="118"/>
      <c r="G224" s="118"/>
      <c r="H224" s="118"/>
      <c r="I224" s="843"/>
      <c r="J224" s="844"/>
      <c r="K224" s="118"/>
      <c r="L224" s="118"/>
      <c r="M224" s="118"/>
      <c r="N224" s="841"/>
    </row>
    <row r="225" spans="1:14" ht="12.75" customHeight="1" x14ac:dyDescent="0.3">
      <c r="A225" s="841"/>
      <c r="B225" s="841"/>
      <c r="C225" s="118"/>
      <c r="D225" s="118"/>
      <c r="E225" s="118"/>
      <c r="F225" s="118"/>
      <c r="G225" s="118"/>
      <c r="H225" s="118"/>
      <c r="I225" s="843"/>
      <c r="J225" s="844"/>
      <c r="K225" s="118"/>
      <c r="L225" s="118"/>
      <c r="M225" s="118"/>
      <c r="N225" s="841"/>
    </row>
    <row r="226" spans="1:14" ht="12.75" customHeight="1" x14ac:dyDescent="0.3">
      <c r="A226" s="841"/>
      <c r="B226" s="841"/>
      <c r="C226" s="118"/>
      <c r="D226" s="118"/>
      <c r="E226" s="118"/>
      <c r="F226" s="118"/>
      <c r="G226" s="118"/>
      <c r="H226" s="118"/>
      <c r="I226" s="843"/>
      <c r="J226" s="844"/>
      <c r="K226" s="118"/>
      <c r="L226" s="118"/>
      <c r="M226" s="118"/>
      <c r="N226" s="841"/>
    </row>
    <row r="227" spans="1:14" ht="12.75" customHeight="1" x14ac:dyDescent="0.3">
      <c r="A227" s="841"/>
      <c r="B227" s="841"/>
      <c r="C227" s="118"/>
      <c r="D227" s="118"/>
      <c r="E227" s="118"/>
      <c r="F227" s="118"/>
      <c r="G227" s="118"/>
      <c r="H227" s="118"/>
      <c r="I227" s="843"/>
      <c r="J227" s="844"/>
      <c r="K227" s="118"/>
      <c r="L227" s="118"/>
      <c r="M227" s="118"/>
      <c r="N227" s="841"/>
    </row>
    <row r="228" spans="1:14" ht="12.75" customHeight="1" x14ac:dyDescent="0.3">
      <c r="A228" s="841"/>
      <c r="B228" s="841"/>
      <c r="C228" s="118"/>
      <c r="D228" s="118"/>
      <c r="E228" s="118"/>
      <c r="F228" s="118"/>
      <c r="G228" s="118"/>
      <c r="H228" s="118"/>
      <c r="I228" s="843"/>
      <c r="J228" s="844"/>
      <c r="K228" s="118"/>
      <c r="L228" s="118"/>
      <c r="M228" s="118"/>
      <c r="N228" s="841"/>
    </row>
    <row r="229" spans="1:14" ht="12.75" customHeight="1" x14ac:dyDescent="0.3">
      <c r="A229" s="841"/>
      <c r="B229" s="841"/>
      <c r="C229" s="118"/>
      <c r="D229" s="118"/>
      <c r="E229" s="118"/>
      <c r="F229" s="118"/>
      <c r="G229" s="118"/>
      <c r="H229" s="118"/>
      <c r="I229" s="843"/>
      <c r="J229" s="844"/>
      <c r="K229" s="118"/>
      <c r="L229" s="118"/>
      <c r="M229" s="118"/>
      <c r="N229" s="841"/>
    </row>
    <row r="230" spans="1:14" ht="12.75" customHeight="1" x14ac:dyDescent="0.3">
      <c r="A230" s="841"/>
      <c r="B230" s="841"/>
      <c r="C230" s="118"/>
      <c r="D230" s="118"/>
      <c r="E230" s="118"/>
      <c r="F230" s="118"/>
      <c r="G230" s="118"/>
      <c r="H230" s="118"/>
      <c r="I230" s="843"/>
      <c r="J230" s="844"/>
      <c r="K230" s="118"/>
      <c r="L230" s="118"/>
      <c r="M230" s="118"/>
      <c r="N230" s="841"/>
    </row>
    <row r="231" spans="1:14" ht="12.75" customHeight="1" x14ac:dyDescent="0.3">
      <c r="A231" s="841"/>
      <c r="B231" s="841"/>
      <c r="C231" s="118"/>
      <c r="D231" s="118"/>
      <c r="E231" s="118"/>
      <c r="F231" s="118"/>
      <c r="G231" s="118"/>
      <c r="H231" s="118"/>
      <c r="I231" s="843"/>
      <c r="J231" s="844"/>
      <c r="K231" s="118"/>
      <c r="L231" s="118"/>
      <c r="M231" s="118"/>
      <c r="N231" s="841"/>
    </row>
    <row r="232" spans="1:14" ht="12.75" customHeight="1" x14ac:dyDescent="0.3">
      <c r="A232" s="841"/>
      <c r="B232" s="841"/>
      <c r="C232" s="118"/>
      <c r="D232" s="118"/>
      <c r="E232" s="118"/>
      <c r="F232" s="118"/>
      <c r="G232" s="118"/>
      <c r="H232" s="118"/>
      <c r="I232" s="843"/>
      <c r="J232" s="844"/>
      <c r="K232" s="118"/>
      <c r="L232" s="118"/>
      <c r="M232" s="118"/>
      <c r="N232" s="841"/>
    </row>
    <row r="233" spans="1:14" ht="12.75" customHeight="1" x14ac:dyDescent="0.3">
      <c r="A233" s="841"/>
      <c r="B233" s="841"/>
      <c r="C233" s="118"/>
      <c r="D233" s="118"/>
      <c r="E233" s="118"/>
      <c r="F233" s="118"/>
      <c r="G233" s="118"/>
      <c r="H233" s="118"/>
      <c r="I233" s="843"/>
      <c r="J233" s="844"/>
      <c r="K233" s="118"/>
      <c r="L233" s="118"/>
      <c r="M233" s="118"/>
      <c r="N233" s="841"/>
    </row>
    <row r="234" spans="1:14" ht="12.75" customHeight="1" x14ac:dyDescent="0.3">
      <c r="A234" s="841"/>
      <c r="B234" s="841"/>
      <c r="C234" s="118"/>
      <c r="D234" s="118"/>
      <c r="E234" s="118"/>
      <c r="F234" s="118"/>
      <c r="G234" s="118"/>
      <c r="H234" s="118"/>
      <c r="I234" s="843"/>
      <c r="J234" s="844"/>
      <c r="K234" s="118"/>
      <c r="L234" s="118"/>
      <c r="M234" s="118"/>
      <c r="N234" s="841"/>
    </row>
    <row r="235" spans="1:14" ht="12.75" customHeight="1" x14ac:dyDescent="0.3">
      <c r="A235" s="841"/>
      <c r="B235" s="841"/>
      <c r="C235" s="118"/>
      <c r="D235" s="118"/>
      <c r="E235" s="118"/>
      <c r="F235" s="118"/>
      <c r="G235" s="118"/>
      <c r="H235" s="118"/>
      <c r="I235" s="843"/>
      <c r="J235" s="844"/>
      <c r="K235" s="118"/>
      <c r="L235" s="118"/>
      <c r="M235" s="118"/>
      <c r="N235" s="841"/>
    </row>
    <row r="236" spans="1:14" ht="12.75" customHeight="1" x14ac:dyDescent="0.3">
      <c r="A236" s="841"/>
      <c r="B236" s="841"/>
      <c r="C236" s="118"/>
      <c r="D236" s="118"/>
      <c r="E236" s="118"/>
      <c r="F236" s="118"/>
      <c r="G236" s="118"/>
      <c r="H236" s="118"/>
      <c r="I236" s="843"/>
      <c r="J236" s="844"/>
      <c r="K236" s="118"/>
      <c r="L236" s="118"/>
      <c r="M236" s="118"/>
      <c r="N236" s="841"/>
    </row>
    <row r="237" spans="1:14" ht="12.75" customHeight="1" x14ac:dyDescent="0.3">
      <c r="A237" s="841"/>
      <c r="B237" s="841"/>
      <c r="C237" s="118"/>
      <c r="D237" s="118"/>
      <c r="E237" s="118"/>
      <c r="F237" s="118"/>
      <c r="G237" s="118"/>
      <c r="H237" s="118"/>
      <c r="I237" s="843"/>
      <c r="J237" s="844"/>
      <c r="K237" s="118"/>
      <c r="L237" s="118"/>
      <c r="M237" s="118"/>
      <c r="N237" s="841"/>
    </row>
    <row r="238" spans="1:14" ht="12.75" customHeight="1" x14ac:dyDescent="0.3">
      <c r="A238" s="841"/>
      <c r="B238" s="841"/>
      <c r="C238" s="118"/>
      <c r="D238" s="118"/>
      <c r="E238" s="118"/>
      <c r="F238" s="118"/>
      <c r="G238" s="118"/>
      <c r="H238" s="118"/>
      <c r="I238" s="843"/>
      <c r="J238" s="844"/>
      <c r="K238" s="118"/>
      <c r="L238" s="118"/>
      <c r="M238" s="118"/>
      <c r="N238" s="841"/>
    </row>
    <row r="239" spans="1:14" ht="12.75" customHeight="1" x14ac:dyDescent="0.3">
      <c r="A239" s="841"/>
      <c r="B239" s="841"/>
      <c r="C239" s="118"/>
      <c r="D239" s="118"/>
      <c r="E239" s="118"/>
      <c r="F239" s="118"/>
      <c r="G239" s="118"/>
      <c r="H239" s="118"/>
      <c r="I239" s="843"/>
      <c r="J239" s="844"/>
      <c r="K239" s="118"/>
      <c r="L239" s="118"/>
      <c r="M239" s="118"/>
      <c r="N239" s="841"/>
    </row>
    <row r="240" spans="1:14" ht="12.75" customHeight="1" x14ac:dyDescent="0.3">
      <c r="A240" s="841"/>
      <c r="B240" s="841"/>
      <c r="C240" s="118"/>
      <c r="D240" s="118"/>
      <c r="E240" s="118"/>
      <c r="F240" s="118"/>
      <c r="G240" s="118"/>
      <c r="H240" s="118"/>
      <c r="I240" s="843"/>
      <c r="J240" s="844"/>
      <c r="K240" s="118"/>
      <c r="L240" s="118"/>
      <c r="M240" s="118"/>
      <c r="N240" s="841"/>
    </row>
    <row r="241" spans="1:14" ht="12.75" customHeight="1" x14ac:dyDescent="0.3">
      <c r="A241" s="841"/>
      <c r="B241" s="841"/>
      <c r="C241" s="118"/>
      <c r="D241" s="118"/>
      <c r="E241" s="118"/>
      <c r="F241" s="118"/>
      <c r="G241" s="118"/>
      <c r="H241" s="118"/>
      <c r="I241" s="843"/>
      <c r="J241" s="844"/>
      <c r="K241" s="118"/>
      <c r="L241" s="118"/>
      <c r="M241" s="118"/>
      <c r="N241" s="841"/>
    </row>
    <row r="242" spans="1:14" ht="12.75" customHeight="1" x14ac:dyDescent="0.3">
      <c r="A242" s="841"/>
      <c r="B242" s="841"/>
      <c r="C242" s="118"/>
      <c r="D242" s="118"/>
      <c r="E242" s="118"/>
      <c r="F242" s="118"/>
      <c r="G242" s="118"/>
      <c r="H242" s="118"/>
      <c r="I242" s="843"/>
      <c r="J242" s="844"/>
      <c r="K242" s="118"/>
      <c r="L242" s="118"/>
      <c r="M242" s="118"/>
      <c r="N242" s="841"/>
    </row>
    <row r="243" spans="1:14" ht="12.75" customHeight="1" x14ac:dyDescent="0.3">
      <c r="A243" s="841"/>
      <c r="B243" s="841"/>
      <c r="C243" s="118"/>
      <c r="D243" s="118"/>
      <c r="E243" s="118"/>
      <c r="F243" s="118"/>
      <c r="G243" s="118"/>
      <c r="H243" s="118"/>
      <c r="I243" s="843"/>
      <c r="J243" s="844"/>
      <c r="K243" s="118"/>
      <c r="L243" s="118"/>
      <c r="M243" s="118"/>
      <c r="N243" s="841"/>
    </row>
    <row r="244" spans="1:14" ht="12.75" customHeight="1" x14ac:dyDescent="0.3">
      <c r="A244" s="841"/>
      <c r="B244" s="841"/>
      <c r="C244" s="118"/>
      <c r="D244" s="118"/>
      <c r="E244" s="118"/>
      <c r="F244" s="118"/>
      <c r="G244" s="118"/>
      <c r="H244" s="118"/>
      <c r="I244" s="843"/>
      <c r="J244" s="844"/>
      <c r="K244" s="118"/>
      <c r="L244" s="118"/>
      <c r="M244" s="118"/>
      <c r="N244" s="841"/>
    </row>
    <row r="245" spans="1:14" ht="12.75" customHeight="1" x14ac:dyDescent="0.3">
      <c r="A245" s="841"/>
      <c r="B245" s="841"/>
      <c r="C245" s="118"/>
      <c r="D245" s="118"/>
      <c r="E245" s="118"/>
      <c r="F245" s="118"/>
      <c r="G245" s="118"/>
      <c r="H245" s="118"/>
      <c r="I245" s="843"/>
      <c r="J245" s="844"/>
      <c r="K245" s="118"/>
      <c r="L245" s="118"/>
      <c r="M245" s="118"/>
      <c r="N245" s="841"/>
    </row>
    <row r="246" spans="1:14" ht="12.75" customHeight="1" x14ac:dyDescent="0.3">
      <c r="A246" s="841"/>
      <c r="B246" s="841"/>
      <c r="C246" s="118"/>
      <c r="D246" s="118"/>
      <c r="E246" s="118"/>
      <c r="F246" s="118"/>
      <c r="G246" s="118"/>
      <c r="H246" s="118"/>
      <c r="I246" s="843"/>
      <c r="J246" s="844"/>
      <c r="K246" s="118"/>
      <c r="L246" s="118"/>
      <c r="M246" s="118"/>
      <c r="N246" s="841"/>
    </row>
    <row r="247" spans="1:14" ht="12.75" customHeight="1" x14ac:dyDescent="0.3">
      <c r="A247" s="841"/>
      <c r="B247" s="841"/>
      <c r="C247" s="118"/>
      <c r="D247" s="118"/>
      <c r="E247" s="118"/>
      <c r="F247" s="118"/>
      <c r="G247" s="118"/>
      <c r="H247" s="118"/>
      <c r="I247" s="843"/>
      <c r="J247" s="844"/>
      <c r="K247" s="118"/>
      <c r="L247" s="118"/>
      <c r="M247" s="118"/>
      <c r="N247" s="841"/>
    </row>
    <row r="248" spans="1:14" ht="12.75" customHeight="1" x14ac:dyDescent="0.3">
      <c r="A248" s="841"/>
      <c r="B248" s="841"/>
      <c r="C248" s="118"/>
      <c r="D248" s="118"/>
      <c r="E248" s="118"/>
      <c r="F248" s="118"/>
      <c r="G248" s="118"/>
      <c r="H248" s="118"/>
      <c r="I248" s="843"/>
      <c r="J248" s="844"/>
      <c r="K248" s="118"/>
      <c r="L248" s="118"/>
      <c r="M248" s="118"/>
      <c r="N248" s="841"/>
    </row>
    <row r="249" spans="1:14" ht="12.75" customHeight="1" x14ac:dyDescent="0.3">
      <c r="A249" s="841"/>
      <c r="B249" s="841"/>
      <c r="C249" s="118"/>
      <c r="D249" s="118"/>
      <c r="E249" s="118"/>
      <c r="F249" s="118"/>
      <c r="G249" s="118"/>
      <c r="H249" s="118"/>
      <c r="I249" s="843"/>
      <c r="J249" s="844"/>
      <c r="K249" s="118"/>
      <c r="L249" s="118"/>
      <c r="M249" s="118"/>
      <c r="N249" s="841"/>
    </row>
    <row r="250" spans="1:14" ht="12.75" customHeight="1" x14ac:dyDescent="0.3">
      <c r="A250" s="841"/>
      <c r="B250" s="841"/>
      <c r="C250" s="118"/>
      <c r="D250" s="118"/>
      <c r="E250" s="118"/>
      <c r="F250" s="118"/>
      <c r="G250" s="118"/>
      <c r="H250" s="118"/>
      <c r="I250" s="843"/>
      <c r="J250" s="844"/>
      <c r="K250" s="118"/>
      <c r="L250" s="118"/>
      <c r="M250" s="118"/>
      <c r="N250" s="841"/>
    </row>
    <row r="251" spans="1:14" ht="12.75" customHeight="1" x14ac:dyDescent="0.3">
      <c r="A251" s="841"/>
      <c r="B251" s="841"/>
      <c r="C251" s="118"/>
      <c r="D251" s="118"/>
      <c r="E251" s="118"/>
      <c r="F251" s="118"/>
      <c r="G251" s="118"/>
      <c r="H251" s="118"/>
      <c r="I251" s="843"/>
      <c r="J251" s="844"/>
      <c r="K251" s="118"/>
      <c r="L251" s="118"/>
      <c r="M251" s="118"/>
      <c r="N251" s="841"/>
    </row>
    <row r="252" spans="1:14" ht="12.75" customHeight="1" x14ac:dyDescent="0.3">
      <c r="A252" s="841"/>
      <c r="B252" s="841"/>
      <c r="C252" s="118"/>
      <c r="D252" s="118"/>
      <c r="E252" s="118"/>
      <c r="F252" s="118"/>
      <c r="G252" s="118"/>
      <c r="H252" s="118"/>
      <c r="I252" s="843"/>
      <c r="J252" s="844"/>
      <c r="K252" s="118"/>
      <c r="L252" s="118"/>
      <c r="M252" s="118"/>
      <c r="N252" s="841"/>
    </row>
    <row r="253" spans="1:14" ht="12.75" customHeight="1" x14ac:dyDescent="0.3">
      <c r="A253" s="841"/>
      <c r="B253" s="841"/>
      <c r="C253" s="118"/>
      <c r="D253" s="118"/>
      <c r="E253" s="118"/>
      <c r="F253" s="118"/>
      <c r="G253" s="118"/>
      <c r="H253" s="118"/>
      <c r="I253" s="843"/>
      <c r="J253" s="844"/>
      <c r="K253" s="118"/>
      <c r="L253" s="118"/>
      <c r="M253" s="118"/>
      <c r="N253" s="841"/>
    </row>
    <row r="254" spans="1:14" ht="12.75" customHeight="1" x14ac:dyDescent="0.3">
      <c r="A254" s="841"/>
      <c r="B254" s="841"/>
      <c r="C254" s="118"/>
      <c r="D254" s="118"/>
      <c r="E254" s="118"/>
      <c r="F254" s="118"/>
      <c r="G254" s="118"/>
      <c r="H254" s="118"/>
      <c r="I254" s="843"/>
      <c r="J254" s="844"/>
      <c r="K254" s="118"/>
      <c r="L254" s="118"/>
      <c r="M254" s="118"/>
      <c r="N254" s="841"/>
    </row>
    <row r="255" spans="1:14" ht="12.75" customHeight="1" x14ac:dyDescent="0.3">
      <c r="A255" s="841"/>
      <c r="B255" s="841"/>
      <c r="C255" s="118"/>
      <c r="D255" s="118"/>
      <c r="E255" s="118"/>
      <c r="F255" s="118"/>
      <c r="G255" s="118"/>
      <c r="H255" s="118"/>
      <c r="I255" s="843"/>
      <c r="J255" s="844"/>
      <c r="K255" s="118"/>
      <c r="L255" s="118"/>
      <c r="M255" s="118"/>
      <c r="N255" s="841"/>
    </row>
    <row r="256" spans="1:14" ht="12.75" customHeight="1" x14ac:dyDescent="0.3">
      <c r="A256" s="841"/>
      <c r="B256" s="841"/>
      <c r="C256" s="118"/>
      <c r="D256" s="118"/>
      <c r="E256" s="118"/>
      <c r="F256" s="118"/>
      <c r="G256" s="118"/>
      <c r="H256" s="118"/>
      <c r="I256" s="843"/>
      <c r="J256" s="844"/>
      <c r="K256" s="118"/>
      <c r="L256" s="118"/>
      <c r="M256" s="118"/>
      <c r="N256" s="841"/>
    </row>
    <row r="257" spans="1:14" ht="12.75" customHeight="1" x14ac:dyDescent="0.3">
      <c r="A257" s="841"/>
      <c r="B257" s="841"/>
      <c r="C257" s="118"/>
      <c r="D257" s="118"/>
      <c r="E257" s="118"/>
      <c r="F257" s="118"/>
      <c r="G257" s="118"/>
      <c r="H257" s="118"/>
      <c r="I257" s="843"/>
      <c r="J257" s="844"/>
      <c r="K257" s="118"/>
      <c r="L257" s="118"/>
      <c r="M257" s="118"/>
      <c r="N257" s="841"/>
    </row>
    <row r="258" spans="1:14" ht="12.75" customHeight="1" x14ac:dyDescent="0.3">
      <c r="A258" s="841"/>
      <c r="B258" s="841"/>
      <c r="C258" s="118"/>
      <c r="D258" s="118"/>
      <c r="E258" s="118"/>
      <c r="F258" s="118"/>
      <c r="G258" s="118"/>
      <c r="H258" s="118"/>
      <c r="I258" s="843"/>
      <c r="J258" s="844"/>
      <c r="K258" s="118"/>
      <c r="L258" s="118"/>
      <c r="M258" s="118"/>
      <c r="N258" s="841"/>
    </row>
    <row r="259" spans="1:14" ht="12.75" customHeight="1" x14ac:dyDescent="0.3">
      <c r="A259" s="841"/>
      <c r="B259" s="841"/>
      <c r="C259" s="118"/>
      <c r="D259" s="118"/>
      <c r="E259" s="118"/>
      <c r="F259" s="118"/>
      <c r="G259" s="118"/>
      <c r="H259" s="118"/>
      <c r="I259" s="843"/>
      <c r="J259" s="844"/>
      <c r="K259" s="118"/>
      <c r="L259" s="118"/>
      <c r="M259" s="118"/>
      <c r="N259" s="841"/>
    </row>
    <row r="260" spans="1:14" ht="12.75" customHeight="1" x14ac:dyDescent="0.3">
      <c r="A260" s="841"/>
      <c r="B260" s="841"/>
      <c r="C260" s="118"/>
      <c r="D260" s="118"/>
      <c r="E260" s="118"/>
      <c r="F260" s="118"/>
      <c r="G260" s="118"/>
      <c r="H260" s="118"/>
      <c r="I260" s="843"/>
      <c r="J260" s="844"/>
      <c r="K260" s="118"/>
      <c r="L260" s="118"/>
      <c r="M260" s="118"/>
      <c r="N260" s="841"/>
    </row>
    <row r="261" spans="1:14" ht="12.75" customHeight="1" x14ac:dyDescent="0.3">
      <c r="A261" s="841"/>
      <c r="B261" s="841"/>
      <c r="C261" s="118"/>
      <c r="D261" s="118"/>
      <c r="E261" s="118"/>
      <c r="F261" s="118"/>
      <c r="G261" s="118"/>
      <c r="H261" s="118"/>
      <c r="I261" s="843"/>
      <c r="J261" s="844"/>
      <c r="K261" s="118"/>
      <c r="L261" s="118"/>
      <c r="M261" s="118"/>
      <c r="N261" s="841"/>
    </row>
    <row r="262" spans="1:14" ht="12.75" customHeight="1" x14ac:dyDescent="0.3">
      <c r="A262" s="841"/>
      <c r="B262" s="841"/>
      <c r="C262" s="118"/>
      <c r="D262" s="118"/>
      <c r="E262" s="118"/>
      <c r="F262" s="118"/>
      <c r="G262" s="118"/>
      <c r="H262" s="118"/>
      <c r="I262" s="843"/>
      <c r="J262" s="844"/>
      <c r="K262" s="118"/>
      <c r="L262" s="118"/>
      <c r="M262" s="118"/>
      <c r="N262" s="841"/>
    </row>
    <row r="263" spans="1:14" ht="12.75" customHeight="1" x14ac:dyDescent="0.3">
      <c r="A263" s="841"/>
      <c r="B263" s="841"/>
      <c r="C263" s="118"/>
      <c r="D263" s="118"/>
      <c r="E263" s="118"/>
      <c r="F263" s="118"/>
      <c r="G263" s="118"/>
      <c r="H263" s="118"/>
      <c r="I263" s="843"/>
      <c r="J263" s="844"/>
      <c r="K263" s="118"/>
      <c r="L263" s="118"/>
      <c r="M263" s="118"/>
      <c r="N263" s="841"/>
    </row>
    <row r="264" spans="1:14" ht="12.75" customHeight="1" x14ac:dyDescent="0.3">
      <c r="A264" s="841"/>
      <c r="B264" s="841"/>
      <c r="C264" s="118"/>
      <c r="D264" s="118"/>
      <c r="E264" s="118"/>
      <c r="F264" s="118"/>
      <c r="G264" s="118"/>
      <c r="H264" s="118"/>
      <c r="I264" s="843"/>
      <c r="J264" s="844"/>
      <c r="K264" s="118"/>
      <c r="L264" s="118"/>
      <c r="M264" s="118"/>
      <c r="N264" s="841"/>
    </row>
    <row r="265" spans="1:14" ht="12.75" customHeight="1" x14ac:dyDescent="0.3">
      <c r="A265" s="841"/>
      <c r="B265" s="841"/>
      <c r="C265" s="118"/>
      <c r="D265" s="118"/>
      <c r="E265" s="118"/>
      <c r="F265" s="118"/>
      <c r="G265" s="118"/>
      <c r="H265" s="118"/>
      <c r="I265" s="843"/>
      <c r="J265" s="844"/>
      <c r="K265" s="118"/>
      <c r="L265" s="118"/>
      <c r="M265" s="118"/>
      <c r="N265" s="841"/>
    </row>
    <row r="266" spans="1:14" ht="12.75" customHeight="1" x14ac:dyDescent="0.3">
      <c r="A266" s="841"/>
      <c r="B266" s="841"/>
      <c r="C266" s="118"/>
      <c r="D266" s="118"/>
      <c r="E266" s="118"/>
      <c r="F266" s="118"/>
      <c r="G266" s="118"/>
      <c r="H266" s="118"/>
      <c r="I266" s="843"/>
      <c r="J266" s="844"/>
      <c r="K266" s="118"/>
      <c r="L266" s="118"/>
      <c r="M266" s="118"/>
      <c r="N266" s="841"/>
    </row>
    <row r="267" spans="1:14" ht="12.75" customHeight="1" x14ac:dyDescent="0.3">
      <c r="A267" s="841"/>
      <c r="B267" s="841"/>
      <c r="C267" s="118"/>
      <c r="D267" s="118"/>
      <c r="E267" s="118"/>
      <c r="F267" s="118"/>
      <c r="G267" s="118"/>
      <c r="H267" s="118"/>
      <c r="I267" s="843"/>
      <c r="J267" s="844"/>
      <c r="K267" s="118"/>
      <c r="L267" s="118"/>
      <c r="M267" s="118"/>
      <c r="N267" s="841"/>
    </row>
    <row r="268" spans="1:14" ht="12.75" customHeight="1" x14ac:dyDescent="0.3">
      <c r="A268" s="841"/>
      <c r="B268" s="841"/>
      <c r="C268" s="118"/>
      <c r="D268" s="118"/>
      <c r="E268" s="118"/>
      <c r="F268" s="118"/>
      <c r="G268" s="118"/>
      <c r="H268" s="118"/>
      <c r="I268" s="843"/>
      <c r="J268" s="844"/>
      <c r="K268" s="118"/>
      <c r="L268" s="118"/>
      <c r="M268" s="118"/>
      <c r="N268" s="841"/>
    </row>
    <row r="269" spans="1:14" ht="12.75" customHeight="1" x14ac:dyDescent="0.3">
      <c r="A269" s="841"/>
      <c r="B269" s="841"/>
      <c r="C269" s="118"/>
      <c r="D269" s="118"/>
      <c r="E269" s="118"/>
      <c r="F269" s="118"/>
      <c r="G269" s="118"/>
      <c r="H269" s="118"/>
      <c r="I269" s="843"/>
      <c r="J269" s="844"/>
      <c r="K269" s="118"/>
      <c r="L269" s="118"/>
      <c r="M269" s="118"/>
      <c r="N269" s="841"/>
    </row>
    <row r="270" spans="1:14" ht="12.75" customHeight="1" x14ac:dyDescent="0.3">
      <c r="A270" s="841"/>
      <c r="B270" s="841"/>
      <c r="C270" s="118"/>
      <c r="D270" s="118"/>
      <c r="E270" s="118"/>
      <c r="F270" s="118"/>
      <c r="G270" s="118"/>
      <c r="H270" s="118"/>
      <c r="I270" s="843"/>
      <c r="J270" s="844"/>
      <c r="K270" s="118"/>
      <c r="L270" s="118"/>
      <c r="M270" s="118"/>
      <c r="N270" s="841"/>
    </row>
    <row r="271" spans="1:14" ht="12.75" customHeight="1" x14ac:dyDescent="0.3">
      <c r="A271" s="841"/>
      <c r="B271" s="841"/>
      <c r="C271" s="118"/>
      <c r="D271" s="118"/>
      <c r="E271" s="118"/>
      <c r="F271" s="118"/>
      <c r="G271" s="118"/>
      <c r="H271" s="118"/>
      <c r="I271" s="843"/>
      <c r="J271" s="844"/>
      <c r="K271" s="118"/>
      <c r="L271" s="118"/>
      <c r="M271" s="118"/>
      <c r="N271" s="841"/>
    </row>
    <row r="272" spans="1:14" ht="12.75" customHeight="1" x14ac:dyDescent="0.3">
      <c r="A272" s="841"/>
      <c r="B272" s="841"/>
      <c r="C272" s="118"/>
      <c r="D272" s="118"/>
      <c r="E272" s="118"/>
      <c r="F272" s="118"/>
      <c r="G272" s="118"/>
      <c r="H272" s="118"/>
      <c r="I272" s="843"/>
      <c r="J272" s="844"/>
      <c r="K272" s="118"/>
      <c r="L272" s="118"/>
      <c r="M272" s="118"/>
      <c r="N272" s="841"/>
    </row>
    <row r="273" spans="1:14" ht="12.75" customHeight="1" x14ac:dyDescent="0.3">
      <c r="A273" s="841"/>
      <c r="B273" s="841"/>
      <c r="C273" s="118"/>
      <c r="D273" s="118"/>
      <c r="E273" s="118"/>
      <c r="F273" s="118"/>
      <c r="G273" s="118"/>
      <c r="H273" s="118"/>
      <c r="I273" s="843"/>
      <c r="J273" s="844"/>
      <c r="K273" s="118"/>
      <c r="L273" s="118"/>
      <c r="M273" s="118"/>
      <c r="N273" s="841"/>
    </row>
    <row r="274" spans="1:14" ht="12.75" customHeight="1" x14ac:dyDescent="0.3">
      <c r="A274" s="841"/>
      <c r="B274" s="841"/>
      <c r="C274" s="118"/>
      <c r="D274" s="118"/>
      <c r="E274" s="118"/>
      <c r="F274" s="118"/>
      <c r="G274" s="118"/>
      <c r="H274" s="118"/>
      <c r="I274" s="843"/>
      <c r="J274" s="844"/>
      <c r="K274" s="118"/>
      <c r="L274" s="118"/>
      <c r="M274" s="118"/>
      <c r="N274" s="841"/>
    </row>
    <row r="275" spans="1:14" ht="12.75" customHeight="1" x14ac:dyDescent="0.3">
      <c r="A275" s="841"/>
      <c r="B275" s="841"/>
      <c r="C275" s="118"/>
      <c r="D275" s="118"/>
      <c r="E275" s="118"/>
      <c r="F275" s="118"/>
      <c r="G275" s="118"/>
      <c r="H275" s="118"/>
      <c r="I275" s="843"/>
      <c r="J275" s="844"/>
      <c r="K275" s="118"/>
      <c r="L275" s="118"/>
      <c r="M275" s="118"/>
      <c r="N275" s="841"/>
    </row>
    <row r="276" spans="1:14" ht="12.75" customHeight="1" x14ac:dyDescent="0.3">
      <c r="A276" s="841"/>
      <c r="B276" s="841"/>
      <c r="C276" s="118"/>
      <c r="D276" s="118"/>
      <c r="E276" s="118"/>
      <c r="F276" s="118"/>
      <c r="G276" s="118"/>
      <c r="H276" s="118"/>
      <c r="I276" s="843"/>
      <c r="J276" s="844"/>
      <c r="K276" s="118"/>
      <c r="L276" s="118"/>
      <c r="M276" s="118"/>
      <c r="N276" s="841"/>
    </row>
    <row r="277" spans="1:14" ht="12.75" customHeight="1" x14ac:dyDescent="0.3">
      <c r="A277" s="841"/>
      <c r="B277" s="841"/>
      <c r="C277" s="118"/>
      <c r="D277" s="118"/>
      <c r="E277" s="118"/>
      <c r="F277" s="118"/>
      <c r="G277" s="118"/>
      <c r="H277" s="118"/>
      <c r="I277" s="843"/>
      <c r="J277" s="844"/>
      <c r="K277" s="118"/>
      <c r="L277" s="118"/>
      <c r="M277" s="118"/>
      <c r="N277" s="841"/>
    </row>
    <row r="278" spans="1:14" ht="12.75" customHeight="1" x14ac:dyDescent="0.3">
      <c r="A278" s="841"/>
      <c r="B278" s="841"/>
      <c r="C278" s="118"/>
      <c r="D278" s="118"/>
      <c r="E278" s="118"/>
      <c r="F278" s="118"/>
      <c r="G278" s="118"/>
      <c r="H278" s="118"/>
      <c r="I278" s="843"/>
      <c r="J278" s="844"/>
      <c r="K278" s="118"/>
      <c r="L278" s="118"/>
      <c r="M278" s="118"/>
      <c r="N278" s="841"/>
    </row>
    <row r="279" spans="1:14" ht="12.75" customHeight="1" x14ac:dyDescent="0.3">
      <c r="A279" s="841"/>
      <c r="B279" s="841"/>
      <c r="C279" s="118"/>
      <c r="D279" s="118"/>
      <c r="E279" s="118"/>
      <c r="F279" s="118"/>
      <c r="G279" s="118"/>
      <c r="H279" s="118"/>
      <c r="I279" s="843"/>
      <c r="J279" s="844"/>
      <c r="K279" s="118"/>
      <c r="L279" s="118"/>
      <c r="M279" s="118"/>
      <c r="N279" s="841"/>
    </row>
    <row r="280" spans="1:14" ht="12.75" customHeight="1" x14ac:dyDescent="0.3">
      <c r="A280" s="841"/>
      <c r="B280" s="841"/>
      <c r="C280" s="118"/>
      <c r="D280" s="118"/>
      <c r="E280" s="118"/>
      <c r="F280" s="118"/>
      <c r="G280" s="118"/>
      <c r="H280" s="118"/>
      <c r="I280" s="843"/>
      <c r="J280" s="844"/>
      <c r="K280" s="118"/>
      <c r="L280" s="118"/>
      <c r="M280" s="118"/>
      <c r="N280" s="841"/>
    </row>
    <row r="281" spans="1:14" ht="12.75" customHeight="1" x14ac:dyDescent="0.3">
      <c r="A281" s="841"/>
      <c r="B281" s="841"/>
      <c r="C281" s="118"/>
      <c r="D281" s="118"/>
      <c r="E281" s="118"/>
      <c r="F281" s="118"/>
      <c r="G281" s="118"/>
      <c r="H281" s="118"/>
      <c r="I281" s="843"/>
      <c r="J281" s="844"/>
      <c r="K281" s="118"/>
      <c r="L281" s="118"/>
      <c r="M281" s="118"/>
      <c r="N281" s="841"/>
    </row>
    <row r="282" spans="1:14" ht="12.75" customHeight="1" x14ac:dyDescent="0.3">
      <c r="A282" s="841"/>
      <c r="B282" s="841"/>
      <c r="C282" s="118"/>
      <c r="D282" s="118"/>
      <c r="E282" s="118"/>
      <c r="F282" s="118"/>
      <c r="G282" s="118"/>
      <c r="H282" s="118"/>
      <c r="I282" s="843"/>
      <c r="J282" s="844"/>
      <c r="K282" s="118"/>
      <c r="L282" s="118"/>
      <c r="M282" s="118"/>
      <c r="N282" s="841"/>
    </row>
    <row r="283" spans="1:14" ht="12.75" customHeight="1" x14ac:dyDescent="0.3">
      <c r="A283" s="841"/>
      <c r="B283" s="841"/>
      <c r="C283" s="118"/>
      <c r="D283" s="118"/>
      <c r="E283" s="118"/>
      <c r="F283" s="118"/>
      <c r="G283" s="118"/>
      <c r="H283" s="118"/>
      <c r="I283" s="843"/>
      <c r="J283" s="844"/>
      <c r="K283" s="118"/>
      <c r="L283" s="118"/>
      <c r="M283" s="118"/>
      <c r="N283" s="841"/>
    </row>
    <row r="284" spans="1:14" ht="12.75" customHeight="1" x14ac:dyDescent="0.3">
      <c r="A284" s="841"/>
      <c r="B284" s="841"/>
      <c r="C284" s="118"/>
      <c r="D284" s="118"/>
      <c r="E284" s="118"/>
      <c r="F284" s="118"/>
      <c r="G284" s="118"/>
      <c r="H284" s="118"/>
      <c r="I284" s="843"/>
      <c r="J284" s="844"/>
      <c r="K284" s="118"/>
      <c r="L284" s="118"/>
      <c r="M284" s="118"/>
      <c r="N284" s="841"/>
    </row>
    <row r="285" spans="1:14" ht="12.75" customHeight="1" x14ac:dyDescent="0.3">
      <c r="A285" s="841"/>
      <c r="B285" s="841"/>
      <c r="C285" s="118"/>
      <c r="D285" s="118"/>
      <c r="E285" s="118"/>
      <c r="F285" s="118"/>
      <c r="G285" s="118"/>
      <c r="H285" s="118"/>
      <c r="I285" s="843"/>
      <c r="J285" s="844"/>
      <c r="K285" s="118"/>
      <c r="L285" s="118"/>
      <c r="M285" s="118"/>
      <c r="N285" s="841"/>
    </row>
    <row r="286" spans="1:14" ht="12.75" customHeight="1" x14ac:dyDescent="0.3">
      <c r="A286" s="841"/>
      <c r="B286" s="841"/>
      <c r="C286" s="118"/>
      <c r="D286" s="118"/>
      <c r="E286" s="118"/>
      <c r="F286" s="118"/>
      <c r="G286" s="118"/>
      <c r="H286" s="118"/>
      <c r="I286" s="843"/>
      <c r="J286" s="844"/>
      <c r="K286" s="118"/>
      <c r="L286" s="118"/>
      <c r="M286" s="118"/>
      <c r="N286" s="841"/>
    </row>
    <row r="287" spans="1:14" ht="12.75" customHeight="1" x14ac:dyDescent="0.3">
      <c r="A287" s="841"/>
      <c r="B287" s="841"/>
      <c r="C287" s="118"/>
      <c r="D287" s="118"/>
      <c r="E287" s="118"/>
      <c r="F287" s="118"/>
      <c r="G287" s="118"/>
      <c r="H287" s="118"/>
      <c r="I287" s="843"/>
      <c r="J287" s="844"/>
      <c r="K287" s="118"/>
      <c r="L287" s="118"/>
      <c r="M287" s="118"/>
      <c r="N287" s="841"/>
    </row>
    <row r="288" spans="1:14" ht="12.75" customHeight="1" x14ac:dyDescent="0.3">
      <c r="A288" s="841"/>
      <c r="B288" s="841"/>
      <c r="C288" s="118"/>
      <c r="D288" s="118"/>
      <c r="E288" s="118"/>
      <c r="F288" s="118"/>
      <c r="G288" s="118"/>
      <c r="H288" s="118"/>
      <c r="I288" s="843"/>
      <c r="J288" s="844"/>
      <c r="K288" s="118"/>
      <c r="L288" s="118"/>
      <c r="M288" s="118"/>
      <c r="N288" s="841"/>
    </row>
    <row r="289" spans="1:14" ht="12.75" customHeight="1" x14ac:dyDescent="0.3">
      <c r="A289" s="841"/>
      <c r="B289" s="841"/>
      <c r="C289" s="118"/>
      <c r="D289" s="118"/>
      <c r="E289" s="118"/>
      <c r="F289" s="118"/>
      <c r="G289" s="118"/>
      <c r="H289" s="118"/>
      <c r="I289" s="843"/>
      <c r="J289" s="844"/>
      <c r="K289" s="118"/>
      <c r="L289" s="118"/>
      <c r="M289" s="118"/>
      <c r="N289" s="841"/>
    </row>
    <row r="290" spans="1:14" ht="12.75" customHeight="1" x14ac:dyDescent="0.3">
      <c r="A290" s="841"/>
      <c r="B290" s="841"/>
      <c r="C290" s="118"/>
      <c r="D290" s="118"/>
      <c r="E290" s="118"/>
      <c r="F290" s="118"/>
      <c r="G290" s="118"/>
      <c r="H290" s="118"/>
      <c r="I290" s="843"/>
      <c r="J290" s="844"/>
      <c r="K290" s="118"/>
      <c r="L290" s="118"/>
      <c r="M290" s="118"/>
      <c r="N290" s="841"/>
    </row>
    <row r="291" spans="1:14" ht="12.75" customHeight="1" x14ac:dyDescent="0.3">
      <c r="A291" s="841"/>
      <c r="B291" s="841"/>
      <c r="C291" s="118"/>
      <c r="D291" s="118"/>
      <c r="E291" s="118"/>
      <c r="F291" s="118"/>
      <c r="G291" s="118"/>
      <c r="H291" s="118"/>
      <c r="I291" s="843"/>
      <c r="J291" s="844"/>
      <c r="K291" s="118"/>
      <c r="L291" s="118"/>
      <c r="M291" s="118"/>
      <c r="N291" s="841"/>
    </row>
    <row r="292" spans="1:14" ht="12.75" customHeight="1" x14ac:dyDescent="0.3">
      <c r="A292" s="841"/>
      <c r="B292" s="841"/>
      <c r="C292" s="118"/>
      <c r="D292" s="118"/>
      <c r="E292" s="118"/>
      <c r="F292" s="118"/>
      <c r="G292" s="118"/>
      <c r="H292" s="118"/>
      <c r="I292" s="843"/>
      <c r="J292" s="844"/>
      <c r="K292" s="118"/>
      <c r="L292" s="118"/>
      <c r="M292" s="118"/>
      <c r="N292" s="841"/>
    </row>
    <row r="293" spans="1:14" ht="12.75" customHeight="1" x14ac:dyDescent="0.3">
      <c r="A293" s="841"/>
      <c r="B293" s="841"/>
      <c r="C293" s="118"/>
      <c r="D293" s="118"/>
      <c r="E293" s="118"/>
      <c r="F293" s="118"/>
      <c r="G293" s="118"/>
      <c r="H293" s="118"/>
      <c r="I293" s="843"/>
      <c r="J293" s="844"/>
      <c r="K293" s="118"/>
      <c r="L293" s="118"/>
      <c r="M293" s="118"/>
      <c r="N293" s="841"/>
    </row>
    <row r="294" spans="1:14" ht="12.75" customHeight="1" x14ac:dyDescent="0.3">
      <c r="A294" s="841"/>
      <c r="B294" s="841"/>
      <c r="C294" s="118"/>
      <c r="D294" s="118"/>
      <c r="E294" s="118"/>
      <c r="F294" s="118"/>
      <c r="G294" s="118"/>
      <c r="H294" s="118"/>
      <c r="I294" s="843"/>
      <c r="J294" s="844"/>
      <c r="K294" s="118"/>
      <c r="L294" s="118"/>
      <c r="M294" s="118"/>
      <c r="N294" s="841"/>
    </row>
    <row r="295" spans="1:14" ht="12.75" customHeight="1" x14ac:dyDescent="0.3">
      <c r="A295" s="841"/>
      <c r="B295" s="841"/>
      <c r="C295" s="118"/>
      <c r="D295" s="118"/>
      <c r="E295" s="118"/>
      <c r="F295" s="118"/>
      <c r="G295" s="118"/>
      <c r="H295" s="118"/>
      <c r="I295" s="843"/>
      <c r="J295" s="844"/>
      <c r="K295" s="118"/>
      <c r="L295" s="118"/>
      <c r="M295" s="118"/>
      <c r="N295" s="841"/>
    </row>
    <row r="296" spans="1:14" ht="12.75" customHeight="1" x14ac:dyDescent="0.3">
      <c r="A296" s="841"/>
      <c r="B296" s="841"/>
      <c r="C296" s="118"/>
      <c r="D296" s="118"/>
      <c r="E296" s="118"/>
      <c r="F296" s="118"/>
      <c r="G296" s="118"/>
      <c r="H296" s="118"/>
      <c r="I296" s="843"/>
      <c r="J296" s="844"/>
      <c r="K296" s="118"/>
      <c r="L296" s="118"/>
      <c r="M296" s="118"/>
      <c r="N296" s="841"/>
    </row>
    <row r="297" spans="1:14" ht="12.75" customHeight="1" x14ac:dyDescent="0.3">
      <c r="A297" s="841"/>
      <c r="B297" s="841"/>
      <c r="C297" s="118"/>
      <c r="D297" s="118"/>
      <c r="E297" s="118"/>
      <c r="F297" s="118"/>
      <c r="G297" s="118"/>
      <c r="H297" s="118"/>
      <c r="I297" s="843"/>
      <c r="J297" s="844"/>
      <c r="K297" s="118"/>
      <c r="L297" s="118"/>
      <c r="M297" s="118"/>
      <c r="N297" s="841"/>
    </row>
    <row r="298" spans="1:14" ht="12.75" customHeight="1" x14ac:dyDescent="0.3">
      <c r="A298" s="841"/>
      <c r="B298" s="841"/>
      <c r="C298" s="118"/>
      <c r="D298" s="118"/>
      <c r="E298" s="118"/>
      <c r="F298" s="118"/>
      <c r="G298" s="118"/>
      <c r="H298" s="118"/>
      <c r="I298" s="843"/>
      <c r="J298" s="844"/>
      <c r="K298" s="118"/>
      <c r="L298" s="118"/>
      <c r="M298" s="118"/>
      <c r="N298" s="841"/>
    </row>
    <row r="299" spans="1:14" ht="12.75" customHeight="1" x14ac:dyDescent="0.3">
      <c r="A299" s="841"/>
      <c r="B299" s="841"/>
      <c r="C299" s="118"/>
      <c r="D299" s="118"/>
      <c r="E299" s="118"/>
      <c r="F299" s="118"/>
      <c r="G299" s="118"/>
      <c r="H299" s="118"/>
      <c r="I299" s="843"/>
      <c r="J299" s="844"/>
      <c r="K299" s="118"/>
      <c r="L299" s="118"/>
      <c r="M299" s="118"/>
      <c r="N299" s="841"/>
    </row>
    <row r="300" spans="1:14" ht="12.75" customHeight="1" x14ac:dyDescent="0.3">
      <c r="A300" s="841"/>
      <c r="B300" s="841"/>
      <c r="C300" s="118"/>
      <c r="D300" s="118"/>
      <c r="E300" s="118"/>
      <c r="F300" s="118"/>
      <c r="G300" s="118"/>
      <c r="H300" s="118"/>
      <c r="I300" s="843"/>
      <c r="J300" s="844"/>
      <c r="K300" s="118"/>
      <c r="L300" s="118"/>
      <c r="M300" s="118"/>
      <c r="N300" s="841"/>
    </row>
    <row r="301" spans="1:14" ht="12.75" customHeight="1" x14ac:dyDescent="0.3">
      <c r="A301" s="841"/>
      <c r="B301" s="841"/>
      <c r="C301" s="118"/>
      <c r="D301" s="118"/>
      <c r="E301" s="118"/>
      <c r="F301" s="118"/>
      <c r="G301" s="118"/>
      <c r="H301" s="118"/>
      <c r="I301" s="843"/>
      <c r="J301" s="844"/>
      <c r="K301" s="118"/>
      <c r="L301" s="118"/>
      <c r="M301" s="118"/>
      <c r="N301" s="841"/>
    </row>
    <row r="302" spans="1:14" ht="12.75" customHeight="1" x14ac:dyDescent="0.3">
      <c r="A302" s="841"/>
      <c r="B302" s="841"/>
      <c r="C302" s="118"/>
      <c r="D302" s="118"/>
      <c r="E302" s="118"/>
      <c r="F302" s="118"/>
      <c r="G302" s="118"/>
      <c r="H302" s="118"/>
      <c r="I302" s="843"/>
      <c r="J302" s="844"/>
      <c r="K302" s="118"/>
      <c r="L302" s="118"/>
      <c r="M302" s="118"/>
      <c r="N302" s="841"/>
    </row>
    <row r="303" spans="1:14" ht="12.75" customHeight="1" x14ac:dyDescent="0.3">
      <c r="A303" s="841"/>
      <c r="B303" s="841"/>
      <c r="C303" s="118"/>
      <c r="D303" s="118"/>
      <c r="E303" s="118"/>
      <c r="F303" s="118"/>
      <c r="G303" s="118"/>
      <c r="H303" s="118"/>
      <c r="I303" s="843"/>
      <c r="J303" s="844"/>
      <c r="K303" s="118"/>
      <c r="L303" s="118"/>
      <c r="M303" s="118"/>
      <c r="N303" s="841"/>
    </row>
    <row r="304" spans="1:14" ht="12.75" customHeight="1" x14ac:dyDescent="0.3">
      <c r="A304" s="841"/>
      <c r="B304" s="841"/>
      <c r="C304" s="118"/>
      <c r="D304" s="118"/>
      <c r="E304" s="118"/>
      <c r="F304" s="118"/>
      <c r="G304" s="118"/>
      <c r="H304" s="118"/>
      <c r="I304" s="843"/>
      <c r="J304" s="844"/>
      <c r="K304" s="118"/>
      <c r="L304" s="118"/>
      <c r="M304" s="118"/>
      <c r="N304" s="841"/>
    </row>
    <row r="305" spans="1:14" ht="12.75" customHeight="1" x14ac:dyDescent="0.3">
      <c r="A305" s="841"/>
      <c r="B305" s="841"/>
      <c r="C305" s="118"/>
      <c r="D305" s="118"/>
      <c r="E305" s="118"/>
      <c r="F305" s="118"/>
      <c r="G305" s="118"/>
      <c r="H305" s="118"/>
      <c r="I305" s="843"/>
      <c r="J305" s="844"/>
      <c r="K305" s="118"/>
      <c r="L305" s="118"/>
      <c r="M305" s="118"/>
      <c r="N305" s="841"/>
    </row>
    <row r="306" spans="1:14" ht="12.75" customHeight="1" x14ac:dyDescent="0.3">
      <c r="A306" s="841"/>
      <c r="B306" s="841"/>
      <c r="C306" s="118"/>
      <c r="D306" s="118"/>
      <c r="E306" s="118"/>
      <c r="F306" s="118"/>
      <c r="G306" s="118"/>
      <c r="H306" s="118"/>
      <c r="I306" s="843"/>
      <c r="J306" s="844"/>
      <c r="K306" s="118"/>
      <c r="L306" s="118"/>
      <c r="M306" s="118"/>
      <c r="N306" s="841"/>
    </row>
    <row r="307" spans="1:14" ht="12.75" customHeight="1" x14ac:dyDescent="0.3">
      <c r="A307" s="841"/>
      <c r="B307" s="841"/>
      <c r="C307" s="118"/>
      <c r="D307" s="118"/>
      <c r="E307" s="118"/>
      <c r="F307" s="118"/>
      <c r="G307" s="118"/>
      <c r="H307" s="118"/>
      <c r="I307" s="843"/>
      <c r="J307" s="844"/>
      <c r="K307" s="118"/>
      <c r="L307" s="118"/>
      <c r="M307" s="118"/>
      <c r="N307" s="841"/>
    </row>
    <row r="308" spans="1:14" ht="12.75" customHeight="1" x14ac:dyDescent="0.3">
      <c r="A308" s="841"/>
      <c r="B308" s="841"/>
      <c r="C308" s="118"/>
      <c r="D308" s="118"/>
      <c r="E308" s="118"/>
      <c r="F308" s="118"/>
      <c r="G308" s="118"/>
      <c r="H308" s="118"/>
      <c r="I308" s="843"/>
      <c r="J308" s="844"/>
      <c r="K308" s="118"/>
      <c r="L308" s="118"/>
      <c r="M308" s="118"/>
      <c r="N308" s="841"/>
    </row>
    <row r="309" spans="1:14" ht="12.75" customHeight="1" x14ac:dyDescent="0.3">
      <c r="A309" s="841"/>
      <c r="B309" s="841"/>
      <c r="C309" s="118"/>
      <c r="D309" s="118"/>
      <c r="E309" s="118"/>
      <c r="F309" s="118"/>
      <c r="G309" s="118"/>
      <c r="H309" s="118"/>
      <c r="I309" s="843"/>
      <c r="J309" s="844"/>
      <c r="K309" s="118"/>
      <c r="L309" s="118"/>
      <c r="M309" s="118"/>
      <c r="N309" s="841"/>
    </row>
    <row r="310" spans="1:14" ht="12.75" customHeight="1" x14ac:dyDescent="0.3">
      <c r="A310" s="841"/>
      <c r="B310" s="841"/>
      <c r="C310" s="118"/>
      <c r="D310" s="118"/>
      <c r="E310" s="118"/>
      <c r="F310" s="118"/>
      <c r="G310" s="118"/>
      <c r="H310" s="118"/>
      <c r="I310" s="843"/>
      <c r="J310" s="844"/>
      <c r="K310" s="118"/>
      <c r="L310" s="118"/>
      <c r="M310" s="118"/>
      <c r="N310" s="841"/>
    </row>
    <row r="311" spans="1:14" ht="12.75" customHeight="1" x14ac:dyDescent="0.3">
      <c r="A311" s="841"/>
      <c r="B311" s="841"/>
      <c r="C311" s="118"/>
      <c r="D311" s="118"/>
      <c r="E311" s="118"/>
      <c r="F311" s="118"/>
      <c r="G311" s="118"/>
      <c r="H311" s="118"/>
      <c r="I311" s="843"/>
      <c r="J311" s="844"/>
      <c r="K311" s="118"/>
      <c r="L311" s="118"/>
      <c r="M311" s="118"/>
      <c r="N311" s="841"/>
    </row>
    <row r="312" spans="1:14" ht="12.75" customHeight="1" x14ac:dyDescent="0.3">
      <c r="A312" s="841"/>
      <c r="B312" s="841"/>
      <c r="C312" s="118"/>
      <c r="D312" s="118"/>
      <c r="E312" s="118"/>
      <c r="F312" s="118"/>
      <c r="G312" s="118"/>
      <c r="H312" s="118"/>
      <c r="I312" s="843"/>
      <c r="J312" s="844"/>
      <c r="K312" s="118"/>
      <c r="L312" s="118"/>
      <c r="M312" s="118"/>
      <c r="N312" s="841"/>
    </row>
    <row r="313" spans="1:14" ht="12.75" customHeight="1" x14ac:dyDescent="0.3">
      <c r="A313" s="841"/>
      <c r="B313" s="841"/>
      <c r="C313" s="118"/>
      <c r="D313" s="118"/>
      <c r="E313" s="118"/>
      <c r="F313" s="118"/>
      <c r="G313" s="118"/>
      <c r="H313" s="118"/>
      <c r="I313" s="843"/>
      <c r="J313" s="844"/>
      <c r="K313" s="118"/>
      <c r="L313" s="118"/>
      <c r="M313" s="118"/>
      <c r="N313" s="841"/>
    </row>
    <row r="314" spans="1:14" ht="12.75" customHeight="1" x14ac:dyDescent="0.3">
      <c r="A314" s="841"/>
      <c r="B314" s="841"/>
      <c r="C314" s="118"/>
      <c r="D314" s="118"/>
      <c r="E314" s="118"/>
      <c r="F314" s="118"/>
      <c r="G314" s="118"/>
      <c r="H314" s="118"/>
      <c r="I314" s="843"/>
      <c r="J314" s="844"/>
      <c r="K314" s="118"/>
      <c r="L314" s="118"/>
      <c r="M314" s="118"/>
      <c r="N314" s="841"/>
    </row>
    <row r="315" spans="1:14" ht="12.75" customHeight="1" x14ac:dyDescent="0.3">
      <c r="A315" s="841"/>
      <c r="B315" s="841"/>
      <c r="C315" s="118"/>
      <c r="D315" s="118"/>
      <c r="E315" s="118"/>
      <c r="F315" s="118"/>
      <c r="G315" s="118"/>
      <c r="H315" s="118"/>
      <c r="I315" s="843"/>
      <c r="J315" s="844"/>
      <c r="K315" s="118"/>
      <c r="L315" s="118"/>
      <c r="M315" s="118"/>
      <c r="N315" s="841"/>
    </row>
    <row r="316" spans="1:14" ht="12.75" customHeight="1" x14ac:dyDescent="0.3">
      <c r="A316" s="841"/>
      <c r="B316" s="841"/>
      <c r="C316" s="118"/>
      <c r="D316" s="118"/>
      <c r="E316" s="118"/>
      <c r="F316" s="118"/>
      <c r="G316" s="118"/>
      <c r="H316" s="118"/>
      <c r="I316" s="843"/>
      <c r="J316" s="844"/>
      <c r="K316" s="118"/>
      <c r="L316" s="118"/>
      <c r="M316" s="118"/>
      <c r="N316" s="841"/>
    </row>
    <row r="317" spans="1:14" ht="12.75" customHeight="1" x14ac:dyDescent="0.3">
      <c r="A317" s="841"/>
      <c r="B317" s="841"/>
      <c r="C317" s="118"/>
      <c r="D317" s="118"/>
      <c r="E317" s="118"/>
      <c r="F317" s="118"/>
      <c r="G317" s="118"/>
      <c r="H317" s="118"/>
      <c r="I317" s="843"/>
      <c r="J317" s="844"/>
      <c r="K317" s="118"/>
      <c r="L317" s="118"/>
      <c r="M317" s="118"/>
      <c r="N317" s="841"/>
    </row>
    <row r="318" spans="1:14" ht="15.75" customHeight="1" x14ac:dyDescent="0.3">
      <c r="I318" s="843"/>
      <c r="J318" s="844"/>
      <c r="K318" s="118"/>
      <c r="M318" s="118"/>
    </row>
    <row r="319" spans="1:14" ht="15.75" customHeight="1" x14ac:dyDescent="0.3">
      <c r="I319" s="843"/>
      <c r="J319" s="844"/>
      <c r="K319" s="118"/>
      <c r="M319" s="118"/>
    </row>
    <row r="320" spans="1:14" ht="15.75" customHeight="1" x14ac:dyDescent="0.3">
      <c r="I320" s="843"/>
      <c r="J320" s="844"/>
      <c r="K320" s="118"/>
      <c r="M320" s="118"/>
    </row>
    <row r="321" spans="9:13" ht="15.75" customHeight="1" x14ac:dyDescent="0.3">
      <c r="I321" s="843"/>
      <c r="J321" s="844"/>
      <c r="K321" s="118"/>
      <c r="M321" s="118"/>
    </row>
    <row r="322" spans="9:13" ht="15.75" customHeight="1" x14ac:dyDescent="0.3">
      <c r="I322" s="843"/>
      <c r="J322" s="844"/>
      <c r="K322" s="118"/>
      <c r="M322" s="118"/>
    </row>
    <row r="323" spans="9:13" ht="15.75" customHeight="1" x14ac:dyDescent="0.3">
      <c r="I323" s="843"/>
      <c r="J323" s="844"/>
      <c r="K323" s="118"/>
      <c r="M323" s="118"/>
    </row>
    <row r="324" spans="9:13" ht="15.75" customHeight="1" x14ac:dyDescent="0.3">
      <c r="I324" s="843"/>
      <c r="J324" s="844"/>
      <c r="K324" s="118"/>
      <c r="M324" s="118"/>
    </row>
    <row r="325" spans="9:13" ht="15.75" customHeight="1" x14ac:dyDescent="0.3">
      <c r="I325" s="843"/>
      <c r="J325" s="844"/>
      <c r="K325" s="118"/>
      <c r="M325" s="118"/>
    </row>
    <row r="326" spans="9:13" ht="15.75" customHeight="1" x14ac:dyDescent="0.3">
      <c r="I326" s="843"/>
      <c r="J326" s="844"/>
      <c r="K326" s="118"/>
      <c r="M326" s="118"/>
    </row>
    <row r="327" spans="9:13" ht="15.75" customHeight="1" x14ac:dyDescent="0.3">
      <c r="I327" s="843"/>
      <c r="J327" s="844"/>
      <c r="K327" s="118"/>
      <c r="M327" s="118"/>
    </row>
    <row r="328" spans="9:13" ht="15.75" customHeight="1" x14ac:dyDescent="0.3">
      <c r="I328" s="843"/>
      <c r="J328" s="844"/>
      <c r="K328" s="118"/>
      <c r="M328" s="118"/>
    </row>
    <row r="329" spans="9:13" ht="15.75" customHeight="1" x14ac:dyDescent="0.3">
      <c r="I329" s="843"/>
      <c r="J329" s="844"/>
      <c r="K329" s="118"/>
      <c r="M329" s="118"/>
    </row>
    <row r="330" spans="9:13" ht="15.75" customHeight="1" x14ac:dyDescent="0.3">
      <c r="I330" s="843"/>
      <c r="J330" s="844"/>
      <c r="K330" s="118"/>
      <c r="M330" s="118"/>
    </row>
    <row r="331" spans="9:13" ht="15.75" customHeight="1" x14ac:dyDescent="0.3">
      <c r="I331" s="843"/>
      <c r="J331" s="844"/>
      <c r="K331" s="118"/>
      <c r="M331" s="118"/>
    </row>
    <row r="332" spans="9:13" ht="15.75" customHeight="1" x14ac:dyDescent="0.3">
      <c r="I332" s="843"/>
      <c r="J332" s="844"/>
      <c r="K332" s="118"/>
      <c r="M332" s="118"/>
    </row>
    <row r="333" spans="9:13" ht="15.75" customHeight="1" x14ac:dyDescent="0.3">
      <c r="I333" s="843"/>
      <c r="J333" s="844"/>
      <c r="K333" s="118"/>
      <c r="M333" s="118"/>
    </row>
    <row r="334" spans="9:13" ht="15.75" customHeight="1" x14ac:dyDescent="0.3">
      <c r="I334" s="843"/>
      <c r="J334" s="844"/>
      <c r="K334" s="118"/>
      <c r="M334" s="118"/>
    </row>
    <row r="335" spans="9:13" ht="15.75" customHeight="1" x14ac:dyDescent="0.3">
      <c r="I335" s="843"/>
      <c r="J335" s="844"/>
      <c r="K335" s="118"/>
      <c r="M335" s="118"/>
    </row>
    <row r="336" spans="9:13" ht="15.75" customHeight="1" x14ac:dyDescent="0.3">
      <c r="I336" s="843"/>
      <c r="J336" s="844"/>
      <c r="K336" s="118"/>
      <c r="M336" s="118"/>
    </row>
    <row r="337" spans="9:13" ht="15.75" customHeight="1" x14ac:dyDescent="0.3">
      <c r="I337" s="843"/>
      <c r="J337" s="844"/>
      <c r="K337" s="118"/>
      <c r="M337" s="118"/>
    </row>
    <row r="338" spans="9:13" ht="15.75" customHeight="1" x14ac:dyDescent="0.3">
      <c r="I338" s="843"/>
      <c r="J338" s="844"/>
      <c r="K338" s="118"/>
      <c r="M338" s="118"/>
    </row>
    <row r="339" spans="9:13" ht="15.75" customHeight="1" x14ac:dyDescent="0.3">
      <c r="I339" s="843"/>
      <c r="J339" s="844"/>
      <c r="K339" s="118"/>
      <c r="M339" s="118"/>
    </row>
    <row r="340" spans="9:13" ht="15.75" customHeight="1" x14ac:dyDescent="0.3">
      <c r="I340" s="843"/>
      <c r="J340" s="844"/>
      <c r="K340" s="118"/>
      <c r="M340" s="118"/>
    </row>
    <row r="341" spans="9:13" ht="15.75" customHeight="1" x14ac:dyDescent="0.3">
      <c r="I341" s="843"/>
      <c r="J341" s="844"/>
      <c r="K341" s="118"/>
      <c r="M341" s="118"/>
    </row>
    <row r="342" spans="9:13" ht="15.75" customHeight="1" x14ac:dyDescent="0.3">
      <c r="I342" s="843"/>
      <c r="J342" s="844"/>
      <c r="K342" s="118"/>
      <c r="M342" s="118"/>
    </row>
    <row r="343" spans="9:13" ht="15.75" customHeight="1" x14ac:dyDescent="0.3">
      <c r="I343" s="843"/>
      <c r="J343" s="844"/>
      <c r="K343" s="118"/>
      <c r="M343" s="118"/>
    </row>
    <row r="344" spans="9:13" ht="15.75" customHeight="1" x14ac:dyDescent="0.3">
      <c r="I344" s="843"/>
      <c r="J344" s="844"/>
      <c r="K344" s="118"/>
      <c r="M344" s="118"/>
    </row>
    <row r="345" spans="9:13" ht="15.75" customHeight="1" x14ac:dyDescent="0.3">
      <c r="I345" s="843"/>
      <c r="J345" s="844"/>
      <c r="K345" s="118"/>
      <c r="M345" s="118"/>
    </row>
    <row r="346" spans="9:13" ht="15.75" customHeight="1" x14ac:dyDescent="0.3">
      <c r="I346" s="843"/>
      <c r="J346" s="844"/>
      <c r="K346" s="118"/>
      <c r="M346" s="118"/>
    </row>
    <row r="347" spans="9:13" ht="15.75" customHeight="1" x14ac:dyDescent="0.3">
      <c r="I347" s="843"/>
      <c r="J347" s="844"/>
      <c r="K347" s="118"/>
      <c r="M347" s="118"/>
    </row>
    <row r="348" spans="9:13" ht="15.75" customHeight="1" x14ac:dyDescent="0.3">
      <c r="I348" s="843"/>
      <c r="J348" s="844"/>
      <c r="K348" s="118"/>
      <c r="M348" s="118"/>
    </row>
    <row r="349" spans="9:13" ht="15.75" customHeight="1" x14ac:dyDescent="0.3">
      <c r="I349" s="843"/>
      <c r="J349" s="844"/>
      <c r="K349" s="118"/>
      <c r="M349" s="118"/>
    </row>
    <row r="350" spans="9:13" ht="15.75" customHeight="1" x14ac:dyDescent="0.3">
      <c r="I350" s="843"/>
      <c r="J350" s="844"/>
      <c r="K350" s="118"/>
      <c r="M350" s="118"/>
    </row>
    <row r="351" spans="9:13" ht="15.75" customHeight="1" x14ac:dyDescent="0.3">
      <c r="I351" s="843"/>
      <c r="J351" s="844"/>
      <c r="K351" s="118"/>
      <c r="M351" s="118"/>
    </row>
    <row r="352" spans="9:13" ht="15.75" customHeight="1" x14ac:dyDescent="0.3">
      <c r="I352" s="843"/>
      <c r="J352" s="844"/>
      <c r="K352" s="118"/>
      <c r="M352" s="118"/>
    </row>
    <row r="353" spans="9:13" ht="15.75" customHeight="1" x14ac:dyDescent="0.3">
      <c r="I353" s="843"/>
      <c r="J353" s="844"/>
      <c r="K353" s="118"/>
      <c r="M353" s="118"/>
    </row>
    <row r="354" spans="9:13" ht="15.75" customHeight="1" x14ac:dyDescent="0.3">
      <c r="I354" s="843"/>
      <c r="J354" s="844"/>
      <c r="K354" s="118"/>
      <c r="M354" s="118"/>
    </row>
    <row r="355" spans="9:13" ht="15.75" customHeight="1" x14ac:dyDescent="0.3">
      <c r="I355" s="843"/>
      <c r="J355" s="844"/>
      <c r="K355" s="118"/>
      <c r="M355" s="118"/>
    </row>
    <row r="356" spans="9:13" ht="15.75" customHeight="1" x14ac:dyDescent="0.3">
      <c r="I356" s="843"/>
      <c r="J356" s="844"/>
      <c r="K356" s="118"/>
      <c r="M356" s="118"/>
    </row>
    <row r="357" spans="9:13" ht="15.75" customHeight="1" x14ac:dyDescent="0.3">
      <c r="I357" s="843"/>
      <c r="J357" s="844"/>
      <c r="K357" s="118"/>
      <c r="M357" s="118"/>
    </row>
    <row r="358" spans="9:13" ht="15.75" customHeight="1" x14ac:dyDescent="0.3">
      <c r="I358" s="843"/>
      <c r="J358" s="844"/>
      <c r="K358" s="118"/>
      <c r="M358" s="118"/>
    </row>
    <row r="359" spans="9:13" ht="15.75" customHeight="1" x14ac:dyDescent="0.3">
      <c r="I359" s="843"/>
      <c r="J359" s="844"/>
      <c r="K359" s="118"/>
      <c r="M359" s="118"/>
    </row>
    <row r="360" spans="9:13" ht="15.75" customHeight="1" x14ac:dyDescent="0.3">
      <c r="I360" s="843"/>
      <c r="J360" s="844"/>
      <c r="K360" s="118"/>
      <c r="M360" s="118"/>
    </row>
    <row r="361" spans="9:13" ht="15.75" customHeight="1" x14ac:dyDescent="0.3">
      <c r="I361" s="843"/>
      <c r="J361" s="844"/>
      <c r="K361" s="118"/>
      <c r="M361" s="118"/>
    </row>
    <row r="362" spans="9:13" ht="15.75" customHeight="1" x14ac:dyDescent="0.3">
      <c r="I362" s="843"/>
      <c r="J362" s="844"/>
      <c r="K362" s="118"/>
      <c r="M362" s="118"/>
    </row>
    <row r="363" spans="9:13" ht="15.75" customHeight="1" x14ac:dyDescent="0.3">
      <c r="I363" s="843"/>
      <c r="J363" s="844"/>
      <c r="K363" s="118"/>
      <c r="M363" s="118"/>
    </row>
    <row r="364" spans="9:13" ht="15.75" customHeight="1" x14ac:dyDescent="0.3">
      <c r="I364" s="843"/>
      <c r="J364" s="844"/>
      <c r="K364" s="118"/>
      <c r="M364" s="118"/>
    </row>
    <row r="365" spans="9:13" ht="15.75" customHeight="1" x14ac:dyDescent="0.3">
      <c r="I365" s="843"/>
      <c r="J365" s="844"/>
      <c r="K365" s="118"/>
      <c r="M365" s="118"/>
    </row>
    <row r="366" spans="9:13" ht="15.75" customHeight="1" x14ac:dyDescent="0.3">
      <c r="I366" s="843"/>
      <c r="J366" s="844"/>
      <c r="K366" s="118"/>
      <c r="M366" s="118"/>
    </row>
    <row r="367" spans="9:13" ht="15.75" customHeight="1" x14ac:dyDescent="0.3">
      <c r="I367" s="843"/>
      <c r="J367" s="844"/>
      <c r="K367" s="118"/>
      <c r="M367" s="118"/>
    </row>
    <row r="368" spans="9:13" ht="15.75" customHeight="1" x14ac:dyDescent="0.3">
      <c r="I368" s="843"/>
      <c r="J368" s="844"/>
      <c r="K368" s="118"/>
      <c r="M368" s="118"/>
    </row>
    <row r="369" spans="9:13" ht="15.75" customHeight="1" x14ac:dyDescent="0.3">
      <c r="I369" s="843"/>
      <c r="J369" s="844"/>
      <c r="K369" s="118"/>
      <c r="M369" s="118"/>
    </row>
    <row r="370" spans="9:13" ht="15.75" customHeight="1" x14ac:dyDescent="0.3">
      <c r="I370" s="843"/>
      <c r="J370" s="844"/>
      <c r="K370" s="118"/>
      <c r="M370" s="118"/>
    </row>
    <row r="371" spans="9:13" ht="15.75" customHeight="1" x14ac:dyDescent="0.3">
      <c r="I371" s="843"/>
      <c r="J371" s="844"/>
      <c r="K371" s="118"/>
      <c r="M371" s="118"/>
    </row>
    <row r="372" spans="9:13" ht="15.75" customHeight="1" x14ac:dyDescent="0.3">
      <c r="I372" s="843"/>
      <c r="J372" s="844"/>
      <c r="K372" s="118"/>
      <c r="M372" s="118"/>
    </row>
    <row r="373" spans="9:13" ht="15.75" customHeight="1" x14ac:dyDescent="0.3">
      <c r="I373" s="843"/>
      <c r="J373" s="844"/>
      <c r="K373" s="118"/>
      <c r="M373" s="118"/>
    </row>
    <row r="374" spans="9:13" ht="15.75" customHeight="1" x14ac:dyDescent="0.3">
      <c r="I374" s="843"/>
      <c r="J374" s="844"/>
      <c r="K374" s="118"/>
      <c r="M374" s="118"/>
    </row>
    <row r="375" spans="9:13" ht="15.75" customHeight="1" x14ac:dyDescent="0.3">
      <c r="I375" s="843"/>
      <c r="J375" s="844"/>
      <c r="K375" s="118"/>
      <c r="M375" s="118"/>
    </row>
    <row r="376" spans="9:13" ht="15.75" customHeight="1" x14ac:dyDescent="0.3">
      <c r="I376" s="843"/>
      <c r="J376" s="844"/>
      <c r="K376" s="118"/>
      <c r="M376" s="118"/>
    </row>
    <row r="377" spans="9:13" ht="15.75" customHeight="1" x14ac:dyDescent="0.3">
      <c r="I377" s="843"/>
      <c r="J377" s="844"/>
      <c r="K377" s="118"/>
      <c r="M377" s="118"/>
    </row>
    <row r="378" spans="9:13" ht="15.75" customHeight="1" x14ac:dyDescent="0.3">
      <c r="I378" s="843"/>
      <c r="J378" s="844"/>
      <c r="K378" s="118"/>
      <c r="M378" s="118"/>
    </row>
    <row r="379" spans="9:13" ht="15.75" customHeight="1" x14ac:dyDescent="0.3">
      <c r="I379" s="843"/>
      <c r="J379" s="844"/>
      <c r="K379" s="118"/>
      <c r="M379" s="118"/>
    </row>
    <row r="380" spans="9:13" ht="15.75" customHeight="1" x14ac:dyDescent="0.3">
      <c r="I380" s="843"/>
      <c r="J380" s="844"/>
      <c r="K380" s="118"/>
      <c r="M380" s="118"/>
    </row>
    <row r="381" spans="9:13" ht="15.75" customHeight="1" x14ac:dyDescent="0.3">
      <c r="I381" s="843"/>
      <c r="J381" s="844"/>
      <c r="K381" s="118"/>
      <c r="M381" s="118"/>
    </row>
    <row r="382" spans="9:13" ht="15.75" customHeight="1" x14ac:dyDescent="0.3">
      <c r="I382" s="843"/>
      <c r="J382" s="844"/>
      <c r="K382" s="118"/>
      <c r="M382" s="118"/>
    </row>
    <row r="383" spans="9:13" ht="15.75" customHeight="1" x14ac:dyDescent="0.3">
      <c r="I383" s="843"/>
      <c r="J383" s="844"/>
      <c r="K383" s="118"/>
      <c r="M383" s="118"/>
    </row>
    <row r="384" spans="9:13" ht="15.75" customHeight="1" x14ac:dyDescent="0.3">
      <c r="I384" s="843"/>
      <c r="J384" s="844"/>
      <c r="K384" s="118"/>
      <c r="M384" s="118"/>
    </row>
    <row r="385" spans="9:13" ht="15.75" customHeight="1" x14ac:dyDescent="0.3">
      <c r="I385" s="843"/>
      <c r="J385" s="844"/>
      <c r="K385" s="118"/>
      <c r="M385" s="118"/>
    </row>
    <row r="386" spans="9:13" ht="15.75" customHeight="1" x14ac:dyDescent="0.3">
      <c r="I386" s="843"/>
      <c r="J386" s="844"/>
      <c r="K386" s="118"/>
      <c r="M386" s="118"/>
    </row>
    <row r="387" spans="9:13" ht="15.75" customHeight="1" x14ac:dyDescent="0.3">
      <c r="I387" s="843"/>
      <c r="J387" s="844"/>
      <c r="K387" s="118"/>
      <c r="M387" s="118"/>
    </row>
    <row r="388" spans="9:13" ht="15.75" customHeight="1" x14ac:dyDescent="0.3">
      <c r="I388" s="843"/>
      <c r="J388" s="844"/>
      <c r="K388" s="118"/>
      <c r="M388" s="118"/>
    </row>
    <row r="389" spans="9:13" ht="15.75" customHeight="1" x14ac:dyDescent="0.3">
      <c r="I389" s="843"/>
      <c r="J389" s="844"/>
      <c r="K389" s="118"/>
      <c r="M389" s="118"/>
    </row>
    <row r="390" spans="9:13" ht="15.75" customHeight="1" x14ac:dyDescent="0.3">
      <c r="I390" s="843"/>
      <c r="J390" s="844"/>
      <c r="K390" s="118"/>
      <c r="M390" s="118"/>
    </row>
    <row r="391" spans="9:13" ht="15.75" customHeight="1" x14ac:dyDescent="0.3">
      <c r="I391" s="843"/>
      <c r="J391" s="844"/>
      <c r="K391" s="118"/>
      <c r="M391" s="118"/>
    </row>
    <row r="392" spans="9:13" ht="15.75" customHeight="1" x14ac:dyDescent="0.3">
      <c r="I392" s="843"/>
      <c r="J392" s="844"/>
      <c r="K392" s="118"/>
      <c r="M392" s="118"/>
    </row>
    <row r="393" spans="9:13" ht="15.75" customHeight="1" x14ac:dyDescent="0.3">
      <c r="I393" s="843"/>
      <c r="J393" s="844"/>
      <c r="K393" s="118"/>
      <c r="M393" s="118"/>
    </row>
    <row r="394" spans="9:13" ht="15.75" customHeight="1" x14ac:dyDescent="0.3">
      <c r="I394" s="843"/>
      <c r="J394" s="844"/>
      <c r="K394" s="118"/>
      <c r="M394" s="118"/>
    </row>
    <row r="395" spans="9:13" ht="15.75" customHeight="1" x14ac:dyDescent="0.3">
      <c r="I395" s="843"/>
      <c r="J395" s="844"/>
      <c r="K395" s="118"/>
      <c r="M395" s="118"/>
    </row>
    <row r="396" spans="9:13" ht="15.75" customHeight="1" x14ac:dyDescent="0.3">
      <c r="I396" s="843"/>
      <c r="J396" s="844"/>
      <c r="K396" s="118"/>
      <c r="M396" s="118"/>
    </row>
    <row r="397" spans="9:13" ht="15.75" customHeight="1" x14ac:dyDescent="0.3">
      <c r="I397" s="843"/>
      <c r="J397" s="844"/>
      <c r="K397" s="118"/>
      <c r="M397" s="118"/>
    </row>
    <row r="398" spans="9:13" ht="15.75" customHeight="1" x14ac:dyDescent="0.3">
      <c r="I398" s="843"/>
      <c r="J398" s="844"/>
      <c r="K398" s="118"/>
      <c r="M398" s="118"/>
    </row>
    <row r="399" spans="9:13" ht="15.75" customHeight="1" x14ac:dyDescent="0.3">
      <c r="I399" s="843"/>
      <c r="J399" s="844"/>
      <c r="K399" s="118"/>
      <c r="M399" s="118"/>
    </row>
    <row r="400" spans="9:13" ht="15.75" customHeight="1" x14ac:dyDescent="0.3">
      <c r="I400" s="843"/>
      <c r="J400" s="844"/>
      <c r="K400" s="118"/>
      <c r="M400" s="118"/>
    </row>
    <row r="401" spans="9:13" ht="15.75" customHeight="1" x14ac:dyDescent="0.3">
      <c r="I401" s="843"/>
      <c r="J401" s="844"/>
      <c r="K401" s="118"/>
      <c r="M401" s="118"/>
    </row>
    <row r="402" spans="9:13" ht="15.75" customHeight="1" x14ac:dyDescent="0.3">
      <c r="I402" s="843"/>
      <c r="J402" s="844"/>
      <c r="K402" s="118"/>
      <c r="M402" s="118"/>
    </row>
    <row r="403" spans="9:13" ht="15.75" customHeight="1" x14ac:dyDescent="0.3">
      <c r="I403" s="843"/>
      <c r="J403" s="844"/>
      <c r="K403" s="118"/>
      <c r="M403" s="118"/>
    </row>
    <row r="404" spans="9:13" ht="15.75" customHeight="1" x14ac:dyDescent="0.3">
      <c r="I404" s="843"/>
      <c r="J404" s="844"/>
      <c r="K404" s="118"/>
      <c r="M404" s="118"/>
    </row>
    <row r="405" spans="9:13" ht="15.75" customHeight="1" x14ac:dyDescent="0.3">
      <c r="I405" s="843"/>
      <c r="J405" s="844"/>
      <c r="K405" s="118"/>
      <c r="M405" s="118"/>
    </row>
    <row r="406" spans="9:13" ht="15.75" customHeight="1" x14ac:dyDescent="0.3">
      <c r="I406" s="843"/>
      <c r="J406" s="844"/>
      <c r="K406" s="118"/>
      <c r="M406" s="118"/>
    </row>
    <row r="407" spans="9:13" ht="15.75" customHeight="1" x14ac:dyDescent="0.3">
      <c r="I407" s="843"/>
      <c r="J407" s="844"/>
      <c r="K407" s="118"/>
      <c r="M407" s="118"/>
    </row>
    <row r="408" spans="9:13" ht="15.75" customHeight="1" x14ac:dyDescent="0.3">
      <c r="I408" s="843"/>
      <c r="J408" s="844"/>
      <c r="K408" s="118"/>
      <c r="M408" s="118"/>
    </row>
    <row r="409" spans="9:13" ht="15.75" customHeight="1" x14ac:dyDescent="0.3">
      <c r="I409" s="843"/>
      <c r="J409" s="844"/>
      <c r="K409" s="118"/>
      <c r="M409" s="118"/>
    </row>
    <row r="410" spans="9:13" ht="15.75" customHeight="1" x14ac:dyDescent="0.3">
      <c r="I410" s="843"/>
      <c r="J410" s="844"/>
      <c r="K410" s="118"/>
      <c r="M410" s="118"/>
    </row>
    <row r="411" spans="9:13" ht="15.75" customHeight="1" x14ac:dyDescent="0.3">
      <c r="I411" s="843"/>
      <c r="J411" s="844"/>
      <c r="K411" s="118"/>
      <c r="M411" s="118"/>
    </row>
    <row r="412" spans="9:13" ht="15.75" customHeight="1" x14ac:dyDescent="0.3">
      <c r="I412" s="843"/>
      <c r="J412" s="844"/>
      <c r="K412" s="118"/>
      <c r="M412" s="118"/>
    </row>
    <row r="413" spans="9:13" ht="15.75" customHeight="1" x14ac:dyDescent="0.3">
      <c r="I413" s="843"/>
      <c r="J413" s="844"/>
      <c r="K413" s="118"/>
      <c r="M413" s="118"/>
    </row>
    <row r="414" spans="9:13" ht="15.75" customHeight="1" x14ac:dyDescent="0.3">
      <c r="I414" s="843"/>
      <c r="J414" s="844"/>
      <c r="K414" s="118"/>
      <c r="M414" s="118"/>
    </row>
    <row r="415" spans="9:13" ht="15.75" customHeight="1" x14ac:dyDescent="0.3">
      <c r="I415" s="843"/>
      <c r="J415" s="844"/>
      <c r="K415" s="118"/>
      <c r="M415" s="118"/>
    </row>
    <row r="416" spans="9:13" ht="15.75" customHeight="1" x14ac:dyDescent="0.3">
      <c r="I416" s="843"/>
      <c r="J416" s="844"/>
      <c r="K416" s="118"/>
      <c r="M416" s="118"/>
    </row>
    <row r="417" spans="9:13" ht="15.75" customHeight="1" x14ac:dyDescent="0.3">
      <c r="I417" s="843"/>
      <c r="J417" s="844"/>
      <c r="K417" s="118"/>
      <c r="M417" s="118"/>
    </row>
    <row r="418" spans="9:13" ht="15.75" customHeight="1" x14ac:dyDescent="0.3">
      <c r="I418" s="843"/>
      <c r="J418" s="844"/>
      <c r="K418" s="118"/>
      <c r="M418" s="118"/>
    </row>
    <row r="419" spans="9:13" ht="15.75" customHeight="1" x14ac:dyDescent="0.3">
      <c r="I419" s="843"/>
      <c r="J419" s="844"/>
      <c r="K419" s="118"/>
      <c r="M419" s="118"/>
    </row>
    <row r="420" spans="9:13" ht="15.75" customHeight="1" x14ac:dyDescent="0.3">
      <c r="I420" s="843"/>
      <c r="J420" s="844"/>
      <c r="K420" s="118"/>
      <c r="M420" s="118"/>
    </row>
    <row r="421" spans="9:13" ht="15.75" customHeight="1" x14ac:dyDescent="0.3">
      <c r="I421" s="843"/>
      <c r="J421" s="844"/>
      <c r="K421" s="118"/>
      <c r="M421" s="118"/>
    </row>
    <row r="422" spans="9:13" ht="15.75" customHeight="1" x14ac:dyDescent="0.3">
      <c r="I422" s="843"/>
      <c r="J422" s="844"/>
      <c r="K422" s="118"/>
      <c r="M422" s="118"/>
    </row>
    <row r="423" spans="9:13" ht="15.75" customHeight="1" x14ac:dyDescent="0.3">
      <c r="I423" s="843"/>
      <c r="J423" s="844"/>
      <c r="K423" s="118"/>
      <c r="M423" s="118"/>
    </row>
    <row r="424" spans="9:13" ht="15.75" customHeight="1" x14ac:dyDescent="0.3">
      <c r="I424" s="843"/>
      <c r="J424" s="844"/>
      <c r="K424" s="118"/>
      <c r="M424" s="118"/>
    </row>
    <row r="425" spans="9:13" ht="15.75" customHeight="1" x14ac:dyDescent="0.3">
      <c r="I425" s="843"/>
      <c r="J425" s="844"/>
      <c r="K425" s="118"/>
      <c r="M425" s="118"/>
    </row>
    <row r="426" spans="9:13" ht="15.75" customHeight="1" x14ac:dyDescent="0.3">
      <c r="I426" s="843"/>
      <c r="J426" s="844"/>
      <c r="K426" s="118"/>
      <c r="M426" s="118"/>
    </row>
    <row r="427" spans="9:13" ht="15.75" customHeight="1" x14ac:dyDescent="0.3">
      <c r="I427" s="843"/>
      <c r="J427" s="844"/>
      <c r="K427" s="118"/>
      <c r="M427" s="118"/>
    </row>
    <row r="428" spans="9:13" ht="15.75" customHeight="1" x14ac:dyDescent="0.3">
      <c r="I428" s="843"/>
      <c r="J428" s="844"/>
      <c r="K428" s="118"/>
      <c r="M428" s="118"/>
    </row>
    <row r="429" spans="9:13" ht="15.75" customHeight="1" x14ac:dyDescent="0.3">
      <c r="I429" s="843"/>
      <c r="J429" s="844"/>
      <c r="K429" s="118"/>
      <c r="M429" s="118"/>
    </row>
    <row r="430" spans="9:13" ht="15.75" customHeight="1" x14ac:dyDescent="0.3">
      <c r="I430" s="843"/>
      <c r="J430" s="844"/>
      <c r="K430" s="118"/>
      <c r="M430" s="118"/>
    </row>
    <row r="431" spans="9:13" ht="15.75" customHeight="1" x14ac:dyDescent="0.3">
      <c r="I431" s="843"/>
      <c r="J431" s="844"/>
      <c r="K431" s="118"/>
      <c r="M431" s="118"/>
    </row>
    <row r="432" spans="9:13" ht="15.75" customHeight="1" x14ac:dyDescent="0.3">
      <c r="I432" s="843"/>
      <c r="J432" s="844"/>
      <c r="K432" s="118"/>
      <c r="M432" s="118"/>
    </row>
    <row r="433" spans="9:13" ht="15.75" customHeight="1" x14ac:dyDescent="0.3">
      <c r="I433" s="843"/>
      <c r="J433" s="844"/>
      <c r="K433" s="118"/>
      <c r="M433" s="118"/>
    </row>
    <row r="434" spans="9:13" ht="15.75" customHeight="1" x14ac:dyDescent="0.3">
      <c r="I434" s="843"/>
      <c r="J434" s="844"/>
      <c r="K434" s="118"/>
      <c r="M434" s="118"/>
    </row>
    <row r="435" spans="9:13" ht="15.75" customHeight="1" x14ac:dyDescent="0.3">
      <c r="I435" s="843"/>
      <c r="J435" s="844"/>
      <c r="K435" s="118"/>
      <c r="M435" s="118"/>
    </row>
    <row r="436" spans="9:13" ht="15.75" customHeight="1" x14ac:dyDescent="0.3">
      <c r="I436" s="843"/>
      <c r="J436" s="844"/>
      <c r="K436" s="118"/>
      <c r="M436" s="118"/>
    </row>
    <row r="437" spans="9:13" ht="15.75" customHeight="1" x14ac:dyDescent="0.3">
      <c r="I437" s="843"/>
      <c r="J437" s="844"/>
      <c r="K437" s="118"/>
      <c r="M437" s="118"/>
    </row>
    <row r="438" spans="9:13" ht="15.75" customHeight="1" x14ac:dyDescent="0.3">
      <c r="I438" s="843"/>
      <c r="J438" s="844"/>
      <c r="K438" s="118"/>
      <c r="M438" s="118"/>
    </row>
    <row r="439" spans="9:13" ht="15.75" customHeight="1" x14ac:dyDescent="0.3">
      <c r="I439" s="843"/>
      <c r="J439" s="844"/>
      <c r="K439" s="118"/>
      <c r="M439" s="118"/>
    </row>
    <row r="440" spans="9:13" ht="15.75" customHeight="1" x14ac:dyDescent="0.3">
      <c r="I440" s="843"/>
      <c r="J440" s="844"/>
      <c r="K440" s="118"/>
      <c r="M440" s="118"/>
    </row>
    <row r="441" spans="9:13" ht="15.75" customHeight="1" x14ac:dyDescent="0.3">
      <c r="I441" s="843"/>
      <c r="J441" s="844"/>
      <c r="K441" s="118"/>
      <c r="M441" s="118"/>
    </row>
    <row r="442" spans="9:13" ht="15.75" customHeight="1" x14ac:dyDescent="0.3">
      <c r="I442" s="843"/>
      <c r="J442" s="844"/>
      <c r="K442" s="118"/>
      <c r="M442" s="118"/>
    </row>
    <row r="443" spans="9:13" ht="15.75" customHeight="1" x14ac:dyDescent="0.3">
      <c r="I443" s="843"/>
      <c r="J443" s="844"/>
      <c r="K443" s="118"/>
      <c r="M443" s="118"/>
    </row>
    <row r="444" spans="9:13" ht="15.75" customHeight="1" x14ac:dyDescent="0.3">
      <c r="I444" s="843"/>
      <c r="J444" s="844"/>
      <c r="K444" s="118"/>
      <c r="M444" s="118"/>
    </row>
    <row r="445" spans="9:13" ht="15.75" customHeight="1" x14ac:dyDescent="0.3">
      <c r="I445" s="843"/>
      <c r="J445" s="844"/>
      <c r="K445" s="118"/>
      <c r="M445" s="118"/>
    </row>
    <row r="446" spans="9:13" ht="15.75" customHeight="1" x14ac:dyDescent="0.3">
      <c r="I446" s="843"/>
      <c r="J446" s="844"/>
      <c r="K446" s="118"/>
      <c r="M446" s="118"/>
    </row>
    <row r="447" spans="9:13" ht="15.75" customHeight="1" x14ac:dyDescent="0.3">
      <c r="I447" s="843"/>
      <c r="J447" s="844"/>
      <c r="K447" s="118"/>
      <c r="M447" s="118"/>
    </row>
    <row r="448" spans="9:13" ht="15.75" customHeight="1" x14ac:dyDescent="0.3">
      <c r="I448" s="843"/>
      <c r="J448" s="844"/>
      <c r="K448" s="118"/>
      <c r="M448" s="118"/>
    </row>
    <row r="449" spans="9:13" ht="15.75" customHeight="1" x14ac:dyDescent="0.3">
      <c r="I449" s="843"/>
      <c r="J449" s="844"/>
      <c r="K449" s="118"/>
      <c r="M449" s="118"/>
    </row>
    <row r="450" spans="9:13" ht="15.75" customHeight="1" x14ac:dyDescent="0.3">
      <c r="I450" s="843"/>
      <c r="J450" s="844"/>
      <c r="K450" s="118"/>
      <c r="M450" s="118"/>
    </row>
    <row r="451" spans="9:13" ht="15.75" customHeight="1" x14ac:dyDescent="0.3">
      <c r="I451" s="843"/>
      <c r="J451" s="844"/>
      <c r="K451" s="118"/>
      <c r="M451" s="118"/>
    </row>
    <row r="452" spans="9:13" ht="15.75" customHeight="1" x14ac:dyDescent="0.3">
      <c r="I452" s="843"/>
      <c r="J452" s="844"/>
      <c r="K452" s="118"/>
      <c r="M452" s="118"/>
    </row>
    <row r="453" spans="9:13" ht="15.75" customHeight="1" x14ac:dyDescent="0.3">
      <c r="I453" s="843"/>
      <c r="J453" s="844"/>
      <c r="K453" s="118"/>
      <c r="M453" s="118"/>
    </row>
    <row r="454" spans="9:13" ht="15.75" customHeight="1" x14ac:dyDescent="0.3">
      <c r="I454" s="843"/>
      <c r="J454" s="844"/>
      <c r="K454" s="118"/>
      <c r="M454" s="118"/>
    </row>
    <row r="455" spans="9:13" ht="15.75" customHeight="1" x14ac:dyDescent="0.3">
      <c r="I455" s="843"/>
      <c r="J455" s="844"/>
      <c r="K455" s="118"/>
      <c r="M455" s="118"/>
    </row>
    <row r="456" spans="9:13" ht="15.75" customHeight="1" x14ac:dyDescent="0.3">
      <c r="I456" s="843"/>
      <c r="J456" s="844"/>
      <c r="K456" s="118"/>
      <c r="M456" s="118"/>
    </row>
    <row r="457" spans="9:13" ht="15.75" customHeight="1" x14ac:dyDescent="0.3">
      <c r="I457" s="843"/>
      <c r="J457" s="844"/>
      <c r="K457" s="118"/>
      <c r="M457" s="118"/>
    </row>
    <row r="458" spans="9:13" ht="15.75" customHeight="1" x14ac:dyDescent="0.3">
      <c r="I458" s="843"/>
      <c r="J458" s="844"/>
      <c r="K458" s="118"/>
      <c r="M458" s="118"/>
    </row>
    <row r="459" spans="9:13" ht="15.75" customHeight="1" x14ac:dyDescent="0.3">
      <c r="I459" s="843"/>
      <c r="J459" s="844"/>
      <c r="K459" s="118"/>
      <c r="M459" s="118"/>
    </row>
    <row r="460" spans="9:13" ht="15.75" customHeight="1" x14ac:dyDescent="0.3">
      <c r="I460" s="843"/>
      <c r="J460" s="844"/>
      <c r="K460" s="118"/>
      <c r="M460" s="118"/>
    </row>
    <row r="461" spans="9:13" ht="15.75" customHeight="1" x14ac:dyDescent="0.3">
      <c r="I461" s="843"/>
      <c r="J461" s="844"/>
      <c r="K461" s="118"/>
      <c r="M461" s="118"/>
    </row>
    <row r="462" spans="9:13" ht="15.75" customHeight="1" x14ac:dyDescent="0.3">
      <c r="I462" s="843"/>
      <c r="J462" s="844"/>
      <c r="K462" s="118"/>
      <c r="M462" s="118"/>
    </row>
    <row r="463" spans="9:13" ht="15.75" customHeight="1" x14ac:dyDescent="0.3">
      <c r="I463" s="843"/>
      <c r="J463" s="844"/>
      <c r="K463" s="118"/>
      <c r="M463" s="118"/>
    </row>
    <row r="464" spans="9:13" ht="15.75" customHeight="1" x14ac:dyDescent="0.3">
      <c r="I464" s="843"/>
      <c r="J464" s="844"/>
      <c r="K464" s="118"/>
      <c r="M464" s="118"/>
    </row>
    <row r="465" spans="9:13" ht="15.75" customHeight="1" x14ac:dyDescent="0.3">
      <c r="I465" s="843"/>
      <c r="J465" s="844"/>
      <c r="K465" s="118"/>
      <c r="M465" s="118"/>
    </row>
    <row r="466" spans="9:13" ht="15.75" customHeight="1" x14ac:dyDescent="0.3">
      <c r="I466" s="843"/>
      <c r="J466" s="844"/>
      <c r="K466" s="118"/>
      <c r="M466" s="118"/>
    </row>
    <row r="467" spans="9:13" ht="15.75" customHeight="1" x14ac:dyDescent="0.3">
      <c r="I467" s="843"/>
      <c r="J467" s="844"/>
      <c r="K467" s="118"/>
      <c r="M467" s="118"/>
    </row>
    <row r="468" spans="9:13" ht="15.75" customHeight="1" x14ac:dyDescent="0.3">
      <c r="I468" s="843"/>
      <c r="J468" s="844"/>
      <c r="K468" s="118"/>
      <c r="M468" s="118"/>
    </row>
    <row r="469" spans="9:13" ht="15.75" customHeight="1" x14ac:dyDescent="0.3">
      <c r="I469" s="843"/>
      <c r="J469" s="844"/>
      <c r="K469" s="118"/>
      <c r="M469" s="118"/>
    </row>
    <row r="470" spans="9:13" ht="15.75" customHeight="1" x14ac:dyDescent="0.3">
      <c r="I470" s="843"/>
      <c r="J470" s="844"/>
      <c r="K470" s="118"/>
      <c r="M470" s="118"/>
    </row>
    <row r="471" spans="9:13" ht="15.75" customHeight="1" x14ac:dyDescent="0.3">
      <c r="I471" s="843"/>
      <c r="J471" s="844"/>
      <c r="K471" s="118"/>
      <c r="M471" s="118"/>
    </row>
    <row r="472" spans="9:13" ht="15.75" customHeight="1" x14ac:dyDescent="0.3">
      <c r="I472" s="843"/>
      <c r="J472" s="844"/>
      <c r="K472" s="118"/>
      <c r="M472" s="118"/>
    </row>
    <row r="473" spans="9:13" ht="15.75" customHeight="1" x14ac:dyDescent="0.3">
      <c r="I473" s="843"/>
      <c r="J473" s="844"/>
      <c r="K473" s="118"/>
      <c r="M473" s="118"/>
    </row>
    <row r="474" spans="9:13" ht="15.75" customHeight="1" x14ac:dyDescent="0.3">
      <c r="I474" s="843"/>
      <c r="J474" s="844"/>
      <c r="K474" s="118"/>
      <c r="M474" s="118"/>
    </row>
    <row r="475" spans="9:13" ht="15.75" customHeight="1" x14ac:dyDescent="0.3">
      <c r="I475" s="843"/>
      <c r="J475" s="844"/>
      <c r="K475" s="118"/>
      <c r="M475" s="118"/>
    </row>
    <row r="476" spans="9:13" ht="15.75" customHeight="1" x14ac:dyDescent="0.3">
      <c r="I476" s="843"/>
      <c r="J476" s="844"/>
      <c r="K476" s="118"/>
      <c r="M476" s="118"/>
    </row>
    <row r="477" spans="9:13" ht="15.75" customHeight="1" x14ac:dyDescent="0.3">
      <c r="I477" s="843"/>
      <c r="J477" s="844"/>
      <c r="K477" s="118"/>
      <c r="M477" s="118"/>
    </row>
    <row r="478" spans="9:13" ht="15.75" customHeight="1" x14ac:dyDescent="0.3">
      <c r="I478" s="843"/>
      <c r="J478" s="844"/>
      <c r="K478" s="118"/>
      <c r="M478" s="118"/>
    </row>
    <row r="479" spans="9:13" ht="15.75" customHeight="1" x14ac:dyDescent="0.3">
      <c r="I479" s="843"/>
      <c r="J479" s="844"/>
      <c r="K479" s="118"/>
      <c r="M479" s="118"/>
    </row>
    <row r="480" spans="9:13" ht="15.75" customHeight="1" x14ac:dyDescent="0.3">
      <c r="I480" s="843"/>
      <c r="J480" s="844"/>
      <c r="K480" s="118"/>
      <c r="M480" s="118"/>
    </row>
    <row r="481" spans="9:13" ht="15.75" customHeight="1" x14ac:dyDescent="0.3">
      <c r="I481" s="843"/>
      <c r="J481" s="844"/>
      <c r="K481" s="118"/>
      <c r="M481" s="118"/>
    </row>
    <row r="482" spans="9:13" ht="15.75" customHeight="1" x14ac:dyDescent="0.3">
      <c r="I482" s="843"/>
      <c r="J482" s="844"/>
      <c r="K482" s="118"/>
      <c r="M482" s="118"/>
    </row>
    <row r="483" spans="9:13" ht="15.75" customHeight="1" x14ac:dyDescent="0.3">
      <c r="I483" s="843"/>
      <c r="J483" s="844"/>
      <c r="K483" s="118"/>
      <c r="M483" s="118"/>
    </row>
    <row r="484" spans="9:13" ht="15.75" customHeight="1" x14ac:dyDescent="0.3">
      <c r="I484" s="843"/>
      <c r="J484" s="844"/>
      <c r="K484" s="118"/>
      <c r="M484" s="118"/>
    </row>
    <row r="485" spans="9:13" ht="15.75" customHeight="1" x14ac:dyDescent="0.3">
      <c r="I485" s="843"/>
      <c r="J485" s="844"/>
      <c r="K485" s="118"/>
      <c r="M485" s="118"/>
    </row>
    <row r="486" spans="9:13" ht="15.75" customHeight="1" x14ac:dyDescent="0.3">
      <c r="I486" s="843"/>
      <c r="J486" s="844"/>
      <c r="K486" s="118"/>
      <c r="M486" s="118"/>
    </row>
    <row r="487" spans="9:13" ht="15.75" customHeight="1" x14ac:dyDescent="0.3">
      <c r="I487" s="843"/>
      <c r="J487" s="844"/>
      <c r="K487" s="118"/>
      <c r="M487" s="118"/>
    </row>
    <row r="488" spans="9:13" ht="15.75" customHeight="1" x14ac:dyDescent="0.3">
      <c r="I488" s="843"/>
      <c r="J488" s="844"/>
      <c r="K488" s="118"/>
      <c r="M488" s="118"/>
    </row>
    <row r="489" spans="9:13" ht="15.75" customHeight="1" x14ac:dyDescent="0.3">
      <c r="I489" s="843"/>
      <c r="J489" s="844"/>
      <c r="K489" s="118"/>
      <c r="M489" s="118"/>
    </row>
    <row r="490" spans="9:13" ht="15.75" customHeight="1" x14ac:dyDescent="0.3">
      <c r="I490" s="843"/>
      <c r="J490" s="844"/>
      <c r="K490" s="118"/>
      <c r="M490" s="118"/>
    </row>
    <row r="491" spans="9:13" ht="15.75" customHeight="1" x14ac:dyDescent="0.3">
      <c r="I491" s="843"/>
      <c r="J491" s="844"/>
      <c r="K491" s="118"/>
      <c r="M491" s="118"/>
    </row>
    <row r="492" spans="9:13" ht="15.75" customHeight="1" x14ac:dyDescent="0.3">
      <c r="I492" s="843"/>
      <c r="J492" s="844"/>
      <c r="K492" s="118"/>
      <c r="M492" s="118"/>
    </row>
    <row r="493" spans="9:13" ht="15.75" customHeight="1" x14ac:dyDescent="0.3">
      <c r="I493" s="843"/>
      <c r="J493" s="844"/>
      <c r="K493" s="118"/>
      <c r="M493" s="118"/>
    </row>
    <row r="494" spans="9:13" ht="15.75" customHeight="1" x14ac:dyDescent="0.3">
      <c r="I494" s="843"/>
      <c r="J494" s="844"/>
      <c r="K494" s="118"/>
      <c r="M494" s="118"/>
    </row>
    <row r="495" spans="9:13" ht="15.75" customHeight="1" x14ac:dyDescent="0.3">
      <c r="I495" s="843"/>
      <c r="J495" s="844"/>
      <c r="K495" s="118"/>
      <c r="M495" s="118"/>
    </row>
    <row r="496" spans="9:13" ht="15.75" customHeight="1" x14ac:dyDescent="0.3">
      <c r="I496" s="843"/>
      <c r="J496" s="844"/>
      <c r="K496" s="118"/>
      <c r="M496" s="118"/>
    </row>
    <row r="497" spans="9:13" ht="15.75" customHeight="1" x14ac:dyDescent="0.3">
      <c r="I497" s="843"/>
      <c r="J497" s="844"/>
      <c r="K497" s="118"/>
      <c r="M497" s="118"/>
    </row>
    <row r="498" spans="9:13" ht="15.75" customHeight="1" x14ac:dyDescent="0.3">
      <c r="I498" s="843"/>
      <c r="J498" s="844"/>
      <c r="K498" s="118"/>
      <c r="M498" s="118"/>
    </row>
    <row r="499" spans="9:13" ht="15.75" customHeight="1" x14ac:dyDescent="0.3">
      <c r="I499" s="843"/>
      <c r="J499" s="844"/>
      <c r="K499" s="118"/>
      <c r="M499" s="118"/>
    </row>
    <row r="500" spans="9:13" ht="15.75" customHeight="1" x14ac:dyDescent="0.3">
      <c r="I500" s="843"/>
      <c r="J500" s="844"/>
      <c r="K500" s="118"/>
      <c r="M500" s="118"/>
    </row>
    <row r="501" spans="9:13" ht="15.75" customHeight="1" x14ac:dyDescent="0.3">
      <c r="I501" s="843"/>
      <c r="J501" s="844"/>
      <c r="K501" s="118"/>
      <c r="M501" s="118"/>
    </row>
    <row r="502" spans="9:13" ht="15.75" customHeight="1" x14ac:dyDescent="0.3">
      <c r="I502" s="843"/>
      <c r="J502" s="844"/>
      <c r="K502" s="118"/>
      <c r="M502" s="118"/>
    </row>
    <row r="503" spans="9:13" ht="15.75" customHeight="1" x14ac:dyDescent="0.3">
      <c r="I503" s="843"/>
      <c r="J503" s="844"/>
      <c r="K503" s="118"/>
      <c r="M503" s="118"/>
    </row>
    <row r="504" spans="9:13" ht="15.75" customHeight="1" x14ac:dyDescent="0.3">
      <c r="I504" s="843"/>
      <c r="J504" s="844"/>
      <c r="K504" s="118"/>
      <c r="M504" s="118"/>
    </row>
    <row r="505" spans="9:13" ht="15.75" customHeight="1" x14ac:dyDescent="0.3">
      <c r="I505" s="843"/>
      <c r="J505" s="844"/>
      <c r="K505" s="118"/>
      <c r="M505" s="118"/>
    </row>
    <row r="506" spans="9:13" ht="15.75" customHeight="1" x14ac:dyDescent="0.3">
      <c r="I506" s="843"/>
      <c r="J506" s="844"/>
      <c r="K506" s="118"/>
      <c r="M506" s="118"/>
    </row>
    <row r="507" spans="9:13" ht="15.75" customHeight="1" x14ac:dyDescent="0.3">
      <c r="I507" s="843"/>
      <c r="J507" s="844"/>
      <c r="K507" s="118"/>
      <c r="M507" s="118"/>
    </row>
    <row r="508" spans="9:13" ht="15.75" customHeight="1" x14ac:dyDescent="0.3">
      <c r="I508" s="843"/>
      <c r="J508" s="844"/>
      <c r="K508" s="118"/>
      <c r="M508" s="118"/>
    </row>
    <row r="509" spans="9:13" ht="15.75" customHeight="1" x14ac:dyDescent="0.3">
      <c r="I509" s="843"/>
      <c r="J509" s="844"/>
      <c r="K509" s="118"/>
      <c r="M509" s="118"/>
    </row>
    <row r="510" spans="9:13" ht="15.75" customHeight="1" x14ac:dyDescent="0.3">
      <c r="I510" s="843"/>
      <c r="J510" s="844"/>
      <c r="K510" s="118"/>
      <c r="M510" s="118"/>
    </row>
    <row r="511" spans="9:13" ht="15.75" customHeight="1" x14ac:dyDescent="0.3">
      <c r="I511" s="843"/>
      <c r="J511" s="844"/>
      <c r="K511" s="118"/>
      <c r="M511" s="118"/>
    </row>
    <row r="512" spans="9:13" ht="15.75" customHeight="1" x14ac:dyDescent="0.3">
      <c r="I512" s="843"/>
      <c r="J512" s="844"/>
      <c r="K512" s="118"/>
      <c r="M512" s="118"/>
    </row>
    <row r="513" spans="9:13" ht="15.75" customHeight="1" x14ac:dyDescent="0.3">
      <c r="I513" s="843"/>
      <c r="J513" s="844"/>
      <c r="K513" s="118"/>
      <c r="M513" s="118"/>
    </row>
    <row r="514" spans="9:13" ht="15.75" customHeight="1" x14ac:dyDescent="0.3">
      <c r="I514" s="843"/>
      <c r="J514" s="844"/>
      <c r="K514" s="118"/>
      <c r="M514" s="118"/>
    </row>
    <row r="515" spans="9:13" ht="15.75" customHeight="1" x14ac:dyDescent="0.3">
      <c r="I515" s="843"/>
      <c r="J515" s="844"/>
      <c r="K515" s="118"/>
      <c r="M515" s="118"/>
    </row>
    <row r="516" spans="9:13" ht="15.75" customHeight="1" x14ac:dyDescent="0.3">
      <c r="I516" s="843"/>
      <c r="J516" s="844"/>
      <c r="K516" s="118"/>
      <c r="M516" s="118"/>
    </row>
    <row r="517" spans="9:13" ht="15.75" customHeight="1" x14ac:dyDescent="0.3">
      <c r="I517" s="843"/>
      <c r="J517" s="844"/>
      <c r="K517" s="118"/>
      <c r="M517" s="118"/>
    </row>
    <row r="518" spans="9:13" ht="15.75" customHeight="1" x14ac:dyDescent="0.3">
      <c r="I518" s="843"/>
      <c r="J518" s="844"/>
      <c r="K518" s="118"/>
      <c r="M518" s="118"/>
    </row>
    <row r="519" spans="9:13" ht="15.75" customHeight="1" x14ac:dyDescent="0.3">
      <c r="I519" s="843"/>
      <c r="J519" s="844"/>
      <c r="K519" s="118"/>
      <c r="M519" s="118"/>
    </row>
    <row r="520" spans="9:13" ht="15.75" customHeight="1" x14ac:dyDescent="0.3">
      <c r="I520" s="843"/>
      <c r="J520" s="844"/>
      <c r="K520" s="118"/>
      <c r="M520" s="118"/>
    </row>
    <row r="521" spans="9:13" ht="15.75" customHeight="1" x14ac:dyDescent="0.3">
      <c r="I521" s="843"/>
      <c r="J521" s="844"/>
      <c r="K521" s="118"/>
      <c r="M521" s="118"/>
    </row>
    <row r="522" spans="9:13" ht="15.75" customHeight="1" x14ac:dyDescent="0.3">
      <c r="I522" s="843"/>
      <c r="J522" s="844"/>
      <c r="K522" s="118"/>
      <c r="M522" s="118"/>
    </row>
    <row r="523" spans="9:13" ht="15.75" customHeight="1" x14ac:dyDescent="0.3">
      <c r="I523" s="843"/>
      <c r="J523" s="844"/>
      <c r="K523" s="118"/>
      <c r="M523" s="118"/>
    </row>
    <row r="524" spans="9:13" ht="15.75" customHeight="1" x14ac:dyDescent="0.3">
      <c r="I524" s="843"/>
      <c r="J524" s="844"/>
      <c r="K524" s="118"/>
      <c r="M524" s="118"/>
    </row>
    <row r="525" spans="9:13" ht="15.75" customHeight="1" x14ac:dyDescent="0.3">
      <c r="I525" s="843"/>
      <c r="J525" s="844"/>
      <c r="K525" s="118"/>
      <c r="M525" s="118"/>
    </row>
    <row r="526" spans="9:13" ht="15.75" customHeight="1" x14ac:dyDescent="0.3">
      <c r="I526" s="843"/>
      <c r="J526" s="844"/>
      <c r="K526" s="118"/>
      <c r="M526" s="118"/>
    </row>
    <row r="527" spans="9:13" ht="15.75" customHeight="1" x14ac:dyDescent="0.3">
      <c r="I527" s="843"/>
      <c r="J527" s="844"/>
      <c r="K527" s="118"/>
      <c r="M527" s="118"/>
    </row>
    <row r="528" spans="9:13" ht="15.75" customHeight="1" x14ac:dyDescent="0.3">
      <c r="I528" s="843"/>
      <c r="J528" s="844"/>
      <c r="K528" s="118"/>
      <c r="M528" s="118"/>
    </row>
    <row r="529" spans="9:13" ht="15.75" customHeight="1" x14ac:dyDescent="0.3">
      <c r="I529" s="843"/>
      <c r="J529" s="844"/>
      <c r="K529" s="118"/>
      <c r="M529" s="118"/>
    </row>
    <row r="530" spans="9:13" ht="15.75" customHeight="1" x14ac:dyDescent="0.3">
      <c r="I530" s="843"/>
      <c r="J530" s="844"/>
      <c r="K530" s="118"/>
      <c r="M530" s="118"/>
    </row>
    <row r="531" spans="9:13" ht="15.75" customHeight="1" x14ac:dyDescent="0.3">
      <c r="I531" s="843"/>
      <c r="J531" s="844"/>
      <c r="K531" s="118"/>
      <c r="M531" s="118"/>
    </row>
    <row r="532" spans="9:13" ht="15.75" customHeight="1" x14ac:dyDescent="0.3">
      <c r="I532" s="843"/>
      <c r="J532" s="844"/>
      <c r="K532" s="118"/>
      <c r="M532" s="118"/>
    </row>
    <row r="533" spans="9:13" ht="15.75" customHeight="1" x14ac:dyDescent="0.3">
      <c r="I533" s="843"/>
      <c r="J533" s="844"/>
      <c r="K533" s="118"/>
      <c r="M533" s="118"/>
    </row>
    <row r="534" spans="9:13" ht="15.75" customHeight="1" x14ac:dyDescent="0.3">
      <c r="I534" s="843"/>
      <c r="J534" s="844"/>
      <c r="K534" s="118"/>
      <c r="M534" s="118"/>
    </row>
    <row r="535" spans="9:13" ht="15.75" customHeight="1" x14ac:dyDescent="0.3">
      <c r="I535" s="843"/>
      <c r="J535" s="844"/>
      <c r="K535" s="118"/>
      <c r="M535" s="118"/>
    </row>
    <row r="536" spans="9:13" ht="15.75" customHeight="1" x14ac:dyDescent="0.3">
      <c r="I536" s="843"/>
      <c r="J536" s="844"/>
      <c r="K536" s="118"/>
      <c r="M536" s="118"/>
    </row>
    <row r="537" spans="9:13" ht="15.75" customHeight="1" x14ac:dyDescent="0.3">
      <c r="I537" s="843"/>
      <c r="J537" s="844"/>
      <c r="K537" s="118"/>
      <c r="M537" s="118"/>
    </row>
    <row r="538" spans="9:13" ht="15.75" customHeight="1" x14ac:dyDescent="0.3">
      <c r="I538" s="843"/>
      <c r="J538" s="844"/>
      <c r="K538" s="118"/>
      <c r="M538" s="118"/>
    </row>
    <row r="539" spans="9:13" ht="15.75" customHeight="1" x14ac:dyDescent="0.3">
      <c r="I539" s="843"/>
      <c r="J539" s="844"/>
      <c r="K539" s="118"/>
      <c r="M539" s="118"/>
    </row>
    <row r="540" spans="9:13" ht="15.75" customHeight="1" x14ac:dyDescent="0.3">
      <c r="I540" s="843"/>
      <c r="J540" s="844"/>
      <c r="K540" s="118"/>
      <c r="M540" s="118"/>
    </row>
    <row r="541" spans="9:13" ht="15.75" customHeight="1" x14ac:dyDescent="0.3">
      <c r="I541" s="843"/>
      <c r="J541" s="844"/>
      <c r="K541" s="118"/>
      <c r="M541" s="118"/>
    </row>
    <row r="542" spans="9:13" ht="15.75" customHeight="1" x14ac:dyDescent="0.3">
      <c r="I542" s="843"/>
      <c r="J542" s="844"/>
      <c r="K542" s="118"/>
      <c r="M542" s="118"/>
    </row>
    <row r="543" spans="9:13" ht="15.75" customHeight="1" x14ac:dyDescent="0.3">
      <c r="I543" s="843"/>
      <c r="J543" s="844"/>
      <c r="K543" s="118"/>
      <c r="M543" s="118"/>
    </row>
    <row r="544" spans="9:13" ht="15.75" customHeight="1" x14ac:dyDescent="0.3">
      <c r="I544" s="843"/>
      <c r="J544" s="844"/>
      <c r="K544" s="118"/>
      <c r="M544" s="118"/>
    </row>
    <row r="545" spans="9:13" ht="15.75" customHeight="1" x14ac:dyDescent="0.3">
      <c r="I545" s="843"/>
      <c r="J545" s="844"/>
      <c r="K545" s="118"/>
      <c r="M545" s="118"/>
    </row>
    <row r="546" spans="9:13" ht="15.75" customHeight="1" x14ac:dyDescent="0.3">
      <c r="I546" s="843"/>
      <c r="J546" s="844"/>
      <c r="K546" s="118"/>
      <c r="M546" s="118"/>
    </row>
    <row r="547" spans="9:13" ht="15.75" customHeight="1" x14ac:dyDescent="0.3">
      <c r="I547" s="843"/>
      <c r="J547" s="844"/>
      <c r="K547" s="118"/>
      <c r="M547" s="118"/>
    </row>
    <row r="548" spans="9:13" ht="15.75" customHeight="1" x14ac:dyDescent="0.3">
      <c r="I548" s="843"/>
      <c r="J548" s="844"/>
      <c r="K548" s="118"/>
      <c r="M548" s="118"/>
    </row>
    <row r="549" spans="9:13" ht="15.75" customHeight="1" x14ac:dyDescent="0.3">
      <c r="I549" s="843"/>
      <c r="J549" s="844"/>
      <c r="K549" s="118"/>
      <c r="M549" s="118"/>
    </row>
    <row r="550" spans="9:13" ht="15.75" customHeight="1" x14ac:dyDescent="0.3">
      <c r="I550" s="843"/>
      <c r="J550" s="844"/>
      <c r="K550" s="118"/>
      <c r="M550" s="118"/>
    </row>
    <row r="551" spans="9:13" ht="15.75" customHeight="1" x14ac:dyDescent="0.3">
      <c r="I551" s="843"/>
      <c r="J551" s="844"/>
      <c r="K551" s="118"/>
      <c r="M551" s="118"/>
    </row>
    <row r="552" spans="9:13" ht="15.75" customHeight="1" x14ac:dyDescent="0.3">
      <c r="I552" s="843"/>
      <c r="J552" s="844"/>
      <c r="K552" s="118"/>
      <c r="M552" s="118"/>
    </row>
    <row r="553" spans="9:13" ht="15.75" customHeight="1" x14ac:dyDescent="0.3">
      <c r="I553" s="843"/>
      <c r="J553" s="844"/>
      <c r="K553" s="118"/>
      <c r="M553" s="118"/>
    </row>
    <row r="554" spans="9:13" ht="15.75" customHeight="1" x14ac:dyDescent="0.3">
      <c r="I554" s="843"/>
      <c r="J554" s="844"/>
      <c r="K554" s="118"/>
      <c r="M554" s="118"/>
    </row>
    <row r="555" spans="9:13" ht="15.75" customHeight="1" x14ac:dyDescent="0.3">
      <c r="I555" s="843"/>
      <c r="J555" s="844"/>
      <c r="K555" s="118"/>
      <c r="M555" s="118"/>
    </row>
    <row r="556" spans="9:13" ht="15.75" customHeight="1" x14ac:dyDescent="0.3">
      <c r="I556" s="843"/>
      <c r="J556" s="844"/>
      <c r="K556" s="118"/>
      <c r="M556" s="118"/>
    </row>
    <row r="557" spans="9:13" ht="15.75" customHeight="1" x14ac:dyDescent="0.3">
      <c r="I557" s="843"/>
      <c r="J557" s="844"/>
      <c r="K557" s="118"/>
      <c r="M557" s="118"/>
    </row>
    <row r="558" spans="9:13" ht="15.75" customHeight="1" x14ac:dyDescent="0.3">
      <c r="I558" s="843"/>
      <c r="J558" s="844"/>
      <c r="K558" s="118"/>
      <c r="M558" s="118"/>
    </row>
    <row r="559" spans="9:13" ht="15.75" customHeight="1" x14ac:dyDescent="0.3">
      <c r="I559" s="843"/>
      <c r="J559" s="844"/>
      <c r="K559" s="118"/>
      <c r="M559" s="118"/>
    </row>
    <row r="560" spans="9:13" ht="15.75" customHeight="1" x14ac:dyDescent="0.3">
      <c r="I560" s="843"/>
      <c r="J560" s="844"/>
      <c r="K560" s="118"/>
      <c r="M560" s="118"/>
    </row>
    <row r="561" spans="9:13" ht="15.75" customHeight="1" x14ac:dyDescent="0.3">
      <c r="I561" s="843"/>
      <c r="J561" s="844"/>
      <c r="K561" s="118"/>
      <c r="M561" s="118"/>
    </row>
    <row r="562" spans="9:13" ht="15.75" customHeight="1" x14ac:dyDescent="0.3">
      <c r="I562" s="843"/>
      <c r="J562" s="844"/>
      <c r="K562" s="118"/>
      <c r="M562" s="118"/>
    </row>
    <row r="563" spans="9:13" ht="15.75" customHeight="1" x14ac:dyDescent="0.3">
      <c r="I563" s="843"/>
      <c r="J563" s="844"/>
      <c r="K563" s="118"/>
      <c r="M563" s="118"/>
    </row>
    <row r="564" spans="9:13" ht="15.75" customHeight="1" x14ac:dyDescent="0.3">
      <c r="I564" s="843"/>
      <c r="J564" s="844"/>
      <c r="K564" s="118"/>
      <c r="M564" s="118"/>
    </row>
    <row r="565" spans="9:13" ht="15.75" customHeight="1" x14ac:dyDescent="0.3">
      <c r="I565" s="843"/>
      <c r="J565" s="844"/>
      <c r="K565" s="118"/>
      <c r="M565" s="118"/>
    </row>
    <row r="566" spans="9:13" ht="15.75" customHeight="1" x14ac:dyDescent="0.3">
      <c r="I566" s="843"/>
      <c r="J566" s="844"/>
      <c r="K566" s="118"/>
      <c r="M566" s="118"/>
    </row>
    <row r="567" spans="9:13" ht="15.75" customHeight="1" x14ac:dyDescent="0.3">
      <c r="I567" s="843"/>
      <c r="J567" s="844"/>
      <c r="K567" s="118"/>
      <c r="M567" s="118"/>
    </row>
    <row r="568" spans="9:13" ht="15.75" customHeight="1" x14ac:dyDescent="0.3">
      <c r="I568" s="843"/>
      <c r="J568" s="844"/>
      <c r="K568" s="118"/>
      <c r="M568" s="118"/>
    </row>
    <row r="569" spans="9:13" ht="15.75" customHeight="1" x14ac:dyDescent="0.3">
      <c r="I569" s="843"/>
      <c r="J569" s="844"/>
      <c r="K569" s="118"/>
      <c r="M569" s="118"/>
    </row>
    <row r="570" spans="9:13" ht="15.75" customHeight="1" x14ac:dyDescent="0.3">
      <c r="I570" s="843"/>
      <c r="J570" s="844"/>
      <c r="K570" s="118"/>
      <c r="M570" s="118"/>
    </row>
    <row r="571" spans="9:13" ht="15.75" customHeight="1" x14ac:dyDescent="0.3">
      <c r="I571" s="843"/>
      <c r="J571" s="844"/>
      <c r="K571" s="118"/>
      <c r="M571" s="118"/>
    </row>
    <row r="572" spans="9:13" ht="15.75" customHeight="1" x14ac:dyDescent="0.3">
      <c r="I572" s="843"/>
      <c r="J572" s="844"/>
      <c r="K572" s="118"/>
      <c r="M572" s="118"/>
    </row>
    <row r="573" spans="9:13" ht="15.75" customHeight="1" x14ac:dyDescent="0.3">
      <c r="I573" s="843"/>
      <c r="J573" s="844"/>
      <c r="K573" s="118"/>
      <c r="M573" s="118"/>
    </row>
    <row r="574" spans="9:13" ht="15.75" customHeight="1" x14ac:dyDescent="0.3">
      <c r="I574" s="843"/>
      <c r="J574" s="844"/>
      <c r="K574" s="118"/>
      <c r="M574" s="118"/>
    </row>
    <row r="575" spans="9:13" ht="15.75" customHeight="1" x14ac:dyDescent="0.3">
      <c r="I575" s="843"/>
      <c r="J575" s="844"/>
      <c r="K575" s="118"/>
      <c r="M575" s="118"/>
    </row>
    <row r="576" spans="9:13" ht="15.75" customHeight="1" x14ac:dyDescent="0.3">
      <c r="I576" s="843"/>
      <c r="J576" s="844"/>
      <c r="K576" s="118"/>
      <c r="M576" s="118"/>
    </row>
    <row r="577" spans="9:13" ht="15.75" customHeight="1" x14ac:dyDescent="0.3">
      <c r="I577" s="843"/>
      <c r="J577" s="844"/>
      <c r="K577" s="118"/>
      <c r="M577" s="118"/>
    </row>
    <row r="578" spans="9:13" ht="15.75" customHeight="1" x14ac:dyDescent="0.3">
      <c r="I578" s="843"/>
      <c r="J578" s="844"/>
      <c r="K578" s="118"/>
      <c r="M578" s="118"/>
    </row>
    <row r="579" spans="9:13" ht="15.75" customHeight="1" x14ac:dyDescent="0.3">
      <c r="I579" s="843"/>
      <c r="J579" s="844"/>
      <c r="K579" s="118"/>
      <c r="M579" s="118"/>
    </row>
    <row r="580" spans="9:13" ht="15.75" customHeight="1" x14ac:dyDescent="0.3">
      <c r="I580" s="843"/>
      <c r="J580" s="844"/>
      <c r="K580" s="118"/>
      <c r="M580" s="118"/>
    </row>
    <row r="581" spans="9:13" ht="15.75" customHeight="1" x14ac:dyDescent="0.3">
      <c r="I581" s="843"/>
      <c r="J581" s="844"/>
      <c r="K581" s="118"/>
      <c r="M581" s="118"/>
    </row>
    <row r="582" spans="9:13" ht="15.75" customHeight="1" x14ac:dyDescent="0.3">
      <c r="I582" s="843"/>
      <c r="J582" s="844"/>
      <c r="K582" s="118"/>
      <c r="M582" s="118"/>
    </row>
    <row r="583" spans="9:13" ht="15.75" customHeight="1" x14ac:dyDescent="0.3">
      <c r="I583" s="843"/>
      <c r="J583" s="844"/>
      <c r="K583" s="118"/>
      <c r="M583" s="118"/>
    </row>
    <row r="584" spans="9:13" ht="15.75" customHeight="1" x14ac:dyDescent="0.3">
      <c r="I584" s="843"/>
      <c r="J584" s="844"/>
      <c r="K584" s="118"/>
      <c r="M584" s="118"/>
    </row>
    <row r="585" spans="9:13" ht="15.75" customHeight="1" x14ac:dyDescent="0.3">
      <c r="I585" s="843"/>
      <c r="J585" s="844"/>
      <c r="K585" s="118"/>
      <c r="M585" s="118"/>
    </row>
    <row r="586" spans="9:13" ht="15.75" customHeight="1" x14ac:dyDescent="0.3">
      <c r="I586" s="843"/>
      <c r="J586" s="844"/>
      <c r="K586" s="118"/>
      <c r="M586" s="118"/>
    </row>
    <row r="587" spans="9:13" ht="15.75" customHeight="1" x14ac:dyDescent="0.3">
      <c r="I587" s="843"/>
      <c r="J587" s="844"/>
      <c r="K587" s="118"/>
      <c r="M587" s="118"/>
    </row>
    <row r="588" spans="9:13" ht="15.75" customHeight="1" x14ac:dyDescent="0.3">
      <c r="I588" s="843"/>
      <c r="J588" s="844"/>
      <c r="K588" s="118"/>
      <c r="M588" s="118"/>
    </row>
    <row r="589" spans="9:13" ht="15.75" customHeight="1" x14ac:dyDescent="0.3">
      <c r="I589" s="843"/>
      <c r="J589" s="844"/>
      <c r="K589" s="118"/>
      <c r="M589" s="118"/>
    </row>
    <row r="590" spans="9:13" ht="15.75" customHeight="1" x14ac:dyDescent="0.3">
      <c r="I590" s="843"/>
      <c r="J590" s="844"/>
      <c r="K590" s="118"/>
      <c r="M590" s="118"/>
    </row>
    <row r="591" spans="9:13" ht="15.75" customHeight="1" x14ac:dyDescent="0.3">
      <c r="I591" s="843"/>
      <c r="J591" s="844"/>
      <c r="K591" s="118"/>
      <c r="M591" s="118"/>
    </row>
    <row r="592" spans="9:13" ht="15.75" customHeight="1" x14ac:dyDescent="0.3">
      <c r="I592" s="843"/>
      <c r="J592" s="844"/>
      <c r="K592" s="118"/>
      <c r="M592" s="118"/>
    </row>
    <row r="593" spans="9:13" ht="15.75" customHeight="1" x14ac:dyDescent="0.3">
      <c r="I593" s="843"/>
      <c r="J593" s="844"/>
      <c r="K593" s="118"/>
      <c r="M593" s="118"/>
    </row>
    <row r="594" spans="9:13" ht="15.75" customHeight="1" x14ac:dyDescent="0.3">
      <c r="I594" s="843"/>
      <c r="J594" s="844"/>
      <c r="K594" s="118"/>
      <c r="M594" s="118"/>
    </row>
    <row r="595" spans="9:13" ht="15.75" customHeight="1" x14ac:dyDescent="0.3">
      <c r="I595" s="843"/>
      <c r="J595" s="844"/>
      <c r="K595" s="118"/>
      <c r="M595" s="118"/>
    </row>
    <row r="596" spans="9:13" ht="15.75" customHeight="1" x14ac:dyDescent="0.3">
      <c r="I596" s="843"/>
      <c r="J596" s="844"/>
      <c r="K596" s="118"/>
      <c r="M596" s="118"/>
    </row>
    <row r="597" spans="9:13" ht="15.75" customHeight="1" x14ac:dyDescent="0.3">
      <c r="I597" s="843"/>
      <c r="J597" s="844"/>
      <c r="K597" s="118"/>
      <c r="M597" s="118"/>
    </row>
    <row r="598" spans="9:13" ht="15.75" customHeight="1" x14ac:dyDescent="0.3">
      <c r="I598" s="843"/>
      <c r="J598" s="844"/>
      <c r="K598" s="118"/>
      <c r="M598" s="118"/>
    </row>
    <row r="599" spans="9:13" ht="15.75" customHeight="1" x14ac:dyDescent="0.3">
      <c r="I599" s="843"/>
      <c r="J599" s="844"/>
      <c r="K599" s="118"/>
      <c r="M599" s="118"/>
    </row>
    <row r="600" spans="9:13" ht="15.75" customHeight="1" x14ac:dyDescent="0.3">
      <c r="I600" s="843"/>
      <c r="J600" s="844"/>
      <c r="K600" s="118"/>
      <c r="M600" s="118"/>
    </row>
    <row r="601" spans="9:13" ht="15.75" customHeight="1" x14ac:dyDescent="0.3">
      <c r="I601" s="843"/>
      <c r="J601" s="844"/>
      <c r="K601" s="118"/>
      <c r="M601" s="118"/>
    </row>
    <row r="602" spans="9:13" ht="15.75" customHeight="1" x14ac:dyDescent="0.3">
      <c r="I602" s="843"/>
      <c r="J602" s="844"/>
      <c r="K602" s="118"/>
      <c r="M602" s="118"/>
    </row>
    <row r="603" spans="9:13" ht="15.75" customHeight="1" x14ac:dyDescent="0.3">
      <c r="I603" s="843"/>
      <c r="J603" s="844"/>
      <c r="K603" s="118"/>
      <c r="M603" s="118"/>
    </row>
    <row r="604" spans="9:13" ht="15.75" customHeight="1" x14ac:dyDescent="0.3">
      <c r="I604" s="843"/>
      <c r="J604" s="844"/>
      <c r="K604" s="118"/>
      <c r="M604" s="118"/>
    </row>
    <row r="605" spans="9:13" ht="15.75" customHeight="1" x14ac:dyDescent="0.3">
      <c r="I605" s="843"/>
      <c r="J605" s="844"/>
      <c r="K605" s="118"/>
      <c r="M605" s="118"/>
    </row>
    <row r="606" spans="9:13" ht="15.75" customHeight="1" x14ac:dyDescent="0.3">
      <c r="I606" s="843"/>
      <c r="J606" s="844"/>
      <c r="K606" s="118"/>
      <c r="M606" s="118"/>
    </row>
    <row r="607" spans="9:13" ht="15.75" customHeight="1" x14ac:dyDescent="0.3">
      <c r="I607" s="843"/>
      <c r="J607" s="844"/>
      <c r="K607" s="118"/>
      <c r="M607" s="118"/>
    </row>
    <row r="608" spans="9:13" ht="15.75" customHeight="1" x14ac:dyDescent="0.3">
      <c r="I608" s="843"/>
      <c r="J608" s="844"/>
      <c r="K608" s="118"/>
      <c r="M608" s="118"/>
    </row>
    <row r="609" spans="9:13" ht="15.75" customHeight="1" x14ac:dyDescent="0.3">
      <c r="I609" s="843"/>
      <c r="J609" s="844"/>
      <c r="K609" s="118"/>
      <c r="M609" s="118"/>
    </row>
    <row r="610" spans="9:13" ht="15.75" customHeight="1" x14ac:dyDescent="0.3">
      <c r="I610" s="843"/>
      <c r="J610" s="844"/>
      <c r="K610" s="118"/>
      <c r="M610" s="118"/>
    </row>
    <row r="611" spans="9:13" ht="15.75" customHeight="1" x14ac:dyDescent="0.3">
      <c r="I611" s="843"/>
      <c r="J611" s="844"/>
      <c r="K611" s="118"/>
      <c r="M611" s="118"/>
    </row>
    <row r="612" spans="9:13" ht="15.75" customHeight="1" x14ac:dyDescent="0.3">
      <c r="I612" s="843"/>
      <c r="J612" s="844"/>
      <c r="K612" s="118"/>
      <c r="M612" s="118"/>
    </row>
    <row r="613" spans="9:13" ht="15.75" customHeight="1" x14ac:dyDescent="0.3">
      <c r="I613" s="843"/>
      <c r="J613" s="844"/>
      <c r="K613" s="118"/>
      <c r="M613" s="118"/>
    </row>
    <row r="614" spans="9:13" ht="15.75" customHeight="1" x14ac:dyDescent="0.3">
      <c r="I614" s="843"/>
      <c r="J614" s="844"/>
      <c r="K614" s="118"/>
      <c r="M614" s="118"/>
    </row>
    <row r="615" spans="9:13" ht="15.75" customHeight="1" x14ac:dyDescent="0.3">
      <c r="I615" s="843"/>
      <c r="J615" s="844"/>
      <c r="K615" s="118"/>
      <c r="M615" s="118"/>
    </row>
    <row r="616" spans="9:13" ht="15.75" customHeight="1" x14ac:dyDescent="0.3">
      <c r="I616" s="843"/>
      <c r="J616" s="844"/>
      <c r="K616" s="118"/>
      <c r="M616" s="118"/>
    </row>
    <row r="617" spans="9:13" ht="15.75" customHeight="1" x14ac:dyDescent="0.3">
      <c r="I617" s="843"/>
      <c r="J617" s="844"/>
      <c r="K617" s="118"/>
      <c r="M617" s="118"/>
    </row>
    <row r="618" spans="9:13" ht="15.75" customHeight="1" x14ac:dyDescent="0.3">
      <c r="I618" s="843"/>
      <c r="J618" s="844"/>
      <c r="K618" s="118"/>
      <c r="M618" s="118"/>
    </row>
    <row r="619" spans="9:13" ht="15.75" customHeight="1" x14ac:dyDescent="0.3">
      <c r="I619" s="843"/>
      <c r="J619" s="844"/>
      <c r="K619" s="118"/>
      <c r="M619" s="118"/>
    </row>
    <row r="620" spans="9:13" ht="15.75" customHeight="1" x14ac:dyDescent="0.3">
      <c r="I620" s="843"/>
      <c r="J620" s="844"/>
      <c r="K620" s="118"/>
      <c r="M620" s="118"/>
    </row>
    <row r="621" spans="9:13" ht="15.75" customHeight="1" x14ac:dyDescent="0.3">
      <c r="I621" s="843"/>
      <c r="J621" s="844"/>
      <c r="K621" s="118"/>
      <c r="M621" s="118"/>
    </row>
    <row r="622" spans="9:13" ht="15.75" customHeight="1" x14ac:dyDescent="0.3">
      <c r="I622" s="843"/>
      <c r="J622" s="844"/>
      <c r="K622" s="118"/>
      <c r="M622" s="118"/>
    </row>
    <row r="623" spans="9:13" ht="15.75" customHeight="1" x14ac:dyDescent="0.3">
      <c r="I623" s="843"/>
      <c r="J623" s="844"/>
      <c r="K623" s="118"/>
      <c r="M623" s="118"/>
    </row>
    <row r="624" spans="9:13" ht="15.75" customHeight="1" x14ac:dyDescent="0.3">
      <c r="I624" s="843"/>
      <c r="J624" s="844"/>
      <c r="K624" s="118"/>
      <c r="M624" s="118"/>
    </row>
    <row r="625" spans="9:13" ht="15.75" customHeight="1" x14ac:dyDescent="0.3">
      <c r="I625" s="843"/>
      <c r="J625" s="844"/>
      <c r="K625" s="118"/>
      <c r="M625" s="118"/>
    </row>
    <row r="626" spans="9:13" ht="15.75" customHeight="1" x14ac:dyDescent="0.3">
      <c r="I626" s="843"/>
      <c r="J626" s="844"/>
      <c r="K626" s="118"/>
      <c r="M626" s="118"/>
    </row>
    <row r="627" spans="9:13" ht="15.75" customHeight="1" x14ac:dyDescent="0.3">
      <c r="I627" s="843"/>
      <c r="J627" s="844"/>
      <c r="K627" s="118"/>
      <c r="M627" s="118"/>
    </row>
    <row r="628" spans="9:13" ht="15.75" customHeight="1" x14ac:dyDescent="0.3">
      <c r="I628" s="843"/>
      <c r="J628" s="844"/>
      <c r="K628" s="118"/>
      <c r="M628" s="118"/>
    </row>
    <row r="629" spans="9:13" ht="15.75" customHeight="1" x14ac:dyDescent="0.3">
      <c r="I629" s="843"/>
      <c r="J629" s="844"/>
      <c r="K629" s="118"/>
      <c r="M629" s="118"/>
    </row>
    <row r="630" spans="9:13" ht="15.75" customHeight="1" x14ac:dyDescent="0.3">
      <c r="I630" s="843"/>
      <c r="J630" s="844"/>
      <c r="K630" s="118"/>
      <c r="M630" s="118"/>
    </row>
    <row r="631" spans="9:13" ht="15.75" customHeight="1" x14ac:dyDescent="0.3">
      <c r="I631" s="843"/>
      <c r="J631" s="844"/>
      <c r="K631" s="118"/>
      <c r="M631" s="118"/>
    </row>
    <row r="632" spans="9:13" ht="15.75" customHeight="1" x14ac:dyDescent="0.3">
      <c r="I632" s="843"/>
      <c r="J632" s="844"/>
      <c r="K632" s="118"/>
      <c r="M632" s="118"/>
    </row>
    <row r="633" spans="9:13" ht="15.75" customHeight="1" x14ac:dyDescent="0.3">
      <c r="I633" s="843"/>
      <c r="J633" s="844"/>
      <c r="K633" s="118"/>
      <c r="M633" s="118"/>
    </row>
    <row r="634" spans="9:13" ht="15.75" customHeight="1" x14ac:dyDescent="0.3">
      <c r="I634" s="843"/>
      <c r="J634" s="844"/>
      <c r="K634" s="118"/>
      <c r="M634" s="118"/>
    </row>
    <row r="635" spans="9:13" ht="15.75" customHeight="1" x14ac:dyDescent="0.3">
      <c r="I635" s="843"/>
      <c r="J635" s="844"/>
      <c r="K635" s="118"/>
      <c r="M635" s="118"/>
    </row>
    <row r="636" spans="9:13" ht="15.75" customHeight="1" x14ac:dyDescent="0.3">
      <c r="I636" s="843"/>
      <c r="J636" s="844"/>
      <c r="K636" s="118"/>
      <c r="M636" s="118"/>
    </row>
    <row r="637" spans="9:13" ht="15.75" customHeight="1" x14ac:dyDescent="0.3">
      <c r="I637" s="843"/>
      <c r="J637" s="844"/>
      <c r="K637" s="118"/>
      <c r="M637" s="118"/>
    </row>
    <row r="638" spans="9:13" ht="15.75" customHeight="1" x14ac:dyDescent="0.3">
      <c r="I638" s="843"/>
      <c r="J638" s="844"/>
      <c r="K638" s="118"/>
      <c r="M638" s="118"/>
    </row>
    <row r="639" spans="9:13" ht="15.75" customHeight="1" x14ac:dyDescent="0.3">
      <c r="I639" s="843"/>
      <c r="J639" s="844"/>
      <c r="K639" s="118"/>
      <c r="M639" s="118"/>
    </row>
    <row r="640" spans="9:13" ht="15.75" customHeight="1" x14ac:dyDescent="0.3">
      <c r="I640" s="843"/>
      <c r="J640" s="844"/>
      <c r="K640" s="118"/>
      <c r="M640" s="118"/>
    </row>
    <row r="641" spans="9:13" ht="15.75" customHeight="1" x14ac:dyDescent="0.3">
      <c r="I641" s="843"/>
      <c r="J641" s="844"/>
      <c r="K641" s="118"/>
      <c r="M641" s="118"/>
    </row>
    <row r="642" spans="9:13" ht="15.75" customHeight="1" x14ac:dyDescent="0.3">
      <c r="I642" s="843"/>
      <c r="J642" s="844"/>
      <c r="K642" s="118"/>
      <c r="M642" s="118"/>
    </row>
    <row r="643" spans="9:13" ht="15.75" customHeight="1" x14ac:dyDescent="0.3">
      <c r="I643" s="843"/>
      <c r="J643" s="844"/>
      <c r="K643" s="118"/>
      <c r="M643" s="118"/>
    </row>
    <row r="644" spans="9:13" ht="15.75" customHeight="1" x14ac:dyDescent="0.3">
      <c r="I644" s="843"/>
      <c r="J644" s="844"/>
      <c r="K644" s="118"/>
      <c r="M644" s="118"/>
    </row>
    <row r="645" spans="9:13" ht="15.75" customHeight="1" x14ac:dyDescent="0.3">
      <c r="I645" s="843"/>
      <c r="J645" s="844"/>
      <c r="K645" s="118"/>
      <c r="M645" s="118"/>
    </row>
    <row r="646" spans="9:13" ht="15.75" customHeight="1" x14ac:dyDescent="0.3">
      <c r="I646" s="843"/>
      <c r="J646" s="844"/>
      <c r="K646" s="118"/>
      <c r="M646" s="118"/>
    </row>
    <row r="647" spans="9:13" ht="15.75" customHeight="1" x14ac:dyDescent="0.3">
      <c r="I647" s="843"/>
      <c r="J647" s="844"/>
      <c r="K647" s="118"/>
      <c r="M647" s="118"/>
    </row>
    <row r="648" spans="9:13" ht="15.75" customHeight="1" x14ac:dyDescent="0.3">
      <c r="I648" s="843"/>
      <c r="J648" s="844"/>
      <c r="K648" s="118"/>
      <c r="M648" s="118"/>
    </row>
    <row r="649" spans="9:13" ht="15.75" customHeight="1" x14ac:dyDescent="0.3">
      <c r="I649" s="843"/>
      <c r="J649" s="844"/>
      <c r="K649" s="118"/>
      <c r="M649" s="118"/>
    </row>
    <row r="650" spans="9:13" ht="15.75" customHeight="1" x14ac:dyDescent="0.3">
      <c r="I650" s="843"/>
      <c r="J650" s="844"/>
      <c r="K650" s="118"/>
      <c r="M650" s="118"/>
    </row>
    <row r="651" spans="9:13" ht="15.75" customHeight="1" x14ac:dyDescent="0.3">
      <c r="I651" s="843"/>
      <c r="J651" s="844"/>
      <c r="K651" s="118"/>
      <c r="M651" s="118"/>
    </row>
    <row r="652" spans="9:13" ht="15.75" customHeight="1" x14ac:dyDescent="0.3">
      <c r="I652" s="843"/>
      <c r="J652" s="844"/>
      <c r="K652" s="118"/>
      <c r="M652" s="118"/>
    </row>
    <row r="653" spans="9:13" ht="15.75" customHeight="1" x14ac:dyDescent="0.3">
      <c r="I653" s="843"/>
      <c r="J653" s="844"/>
      <c r="K653" s="118"/>
      <c r="M653" s="118"/>
    </row>
    <row r="654" spans="9:13" ht="15.75" customHeight="1" x14ac:dyDescent="0.3">
      <c r="I654" s="843"/>
      <c r="J654" s="844"/>
      <c r="K654" s="118"/>
      <c r="M654" s="118"/>
    </row>
    <row r="655" spans="9:13" ht="15.75" customHeight="1" x14ac:dyDescent="0.3">
      <c r="I655" s="843"/>
      <c r="J655" s="844"/>
      <c r="K655" s="118"/>
      <c r="M655" s="118"/>
    </row>
    <row r="656" spans="9:13" ht="15.75" customHeight="1" x14ac:dyDescent="0.3">
      <c r="I656" s="843"/>
      <c r="J656" s="844"/>
      <c r="K656" s="118"/>
      <c r="M656" s="118"/>
    </row>
    <row r="657" spans="9:13" ht="15.75" customHeight="1" x14ac:dyDescent="0.3">
      <c r="I657" s="843"/>
      <c r="J657" s="844"/>
      <c r="K657" s="118"/>
      <c r="M657" s="118"/>
    </row>
    <row r="658" spans="9:13" ht="15.75" customHeight="1" x14ac:dyDescent="0.3">
      <c r="I658" s="843"/>
      <c r="J658" s="844"/>
      <c r="K658" s="118"/>
      <c r="M658" s="118"/>
    </row>
    <row r="659" spans="9:13" ht="15.75" customHeight="1" x14ac:dyDescent="0.3">
      <c r="I659" s="843"/>
      <c r="J659" s="844"/>
      <c r="K659" s="118"/>
      <c r="M659" s="118"/>
    </row>
    <row r="660" spans="9:13" ht="15.75" customHeight="1" x14ac:dyDescent="0.3">
      <c r="I660" s="843"/>
      <c r="J660" s="844"/>
      <c r="K660" s="118"/>
      <c r="M660" s="118"/>
    </row>
    <row r="661" spans="9:13" ht="15.75" customHeight="1" x14ac:dyDescent="0.3">
      <c r="I661" s="843"/>
      <c r="J661" s="844"/>
      <c r="K661" s="118"/>
      <c r="M661" s="118"/>
    </row>
    <row r="662" spans="9:13" ht="15.75" customHeight="1" x14ac:dyDescent="0.3">
      <c r="I662" s="843"/>
      <c r="J662" s="844"/>
      <c r="K662" s="118"/>
      <c r="M662" s="118"/>
    </row>
    <row r="663" spans="9:13" ht="15.75" customHeight="1" x14ac:dyDescent="0.3">
      <c r="I663" s="843"/>
      <c r="J663" s="844"/>
      <c r="K663" s="118"/>
      <c r="M663" s="118"/>
    </row>
    <row r="664" spans="9:13" ht="15.75" customHeight="1" x14ac:dyDescent="0.3">
      <c r="I664" s="843"/>
      <c r="J664" s="844"/>
      <c r="K664" s="118"/>
      <c r="M664" s="118"/>
    </row>
    <row r="665" spans="9:13" ht="15.75" customHeight="1" x14ac:dyDescent="0.3">
      <c r="I665" s="843"/>
      <c r="J665" s="844"/>
      <c r="K665" s="118"/>
      <c r="M665" s="118"/>
    </row>
    <row r="666" spans="9:13" ht="15.75" customHeight="1" x14ac:dyDescent="0.3">
      <c r="I666" s="843"/>
      <c r="J666" s="844"/>
      <c r="K666" s="118"/>
      <c r="M666" s="118"/>
    </row>
    <row r="667" spans="9:13" ht="15.75" customHeight="1" x14ac:dyDescent="0.3">
      <c r="I667" s="843"/>
      <c r="J667" s="844"/>
      <c r="K667" s="118"/>
      <c r="M667" s="118"/>
    </row>
    <row r="668" spans="9:13" ht="15.75" customHeight="1" x14ac:dyDescent="0.3">
      <c r="I668" s="843"/>
      <c r="J668" s="844"/>
      <c r="K668" s="118"/>
      <c r="M668" s="118"/>
    </row>
    <row r="669" spans="9:13" ht="15.75" customHeight="1" x14ac:dyDescent="0.3">
      <c r="I669" s="843"/>
      <c r="J669" s="844"/>
      <c r="K669" s="118"/>
      <c r="M669" s="118"/>
    </row>
    <row r="670" spans="9:13" ht="15.75" customHeight="1" x14ac:dyDescent="0.3">
      <c r="I670" s="843"/>
      <c r="J670" s="844"/>
      <c r="K670" s="118"/>
      <c r="M670" s="118"/>
    </row>
    <row r="671" spans="9:13" ht="15.75" customHeight="1" x14ac:dyDescent="0.3">
      <c r="I671" s="843"/>
      <c r="J671" s="844"/>
      <c r="K671" s="118"/>
      <c r="M671" s="118"/>
    </row>
    <row r="672" spans="9:13" ht="15.75" customHeight="1" x14ac:dyDescent="0.3">
      <c r="I672" s="843"/>
      <c r="J672" s="844"/>
      <c r="K672" s="118"/>
      <c r="M672" s="118"/>
    </row>
    <row r="673" spans="9:13" ht="15.75" customHeight="1" x14ac:dyDescent="0.3">
      <c r="I673" s="843"/>
      <c r="J673" s="844"/>
      <c r="K673" s="118"/>
      <c r="M673" s="118"/>
    </row>
    <row r="674" spans="9:13" ht="15.75" customHeight="1" x14ac:dyDescent="0.3">
      <c r="I674" s="843"/>
      <c r="J674" s="844"/>
      <c r="K674" s="118"/>
      <c r="M674" s="118"/>
    </row>
    <row r="675" spans="9:13" ht="15.75" customHeight="1" x14ac:dyDescent="0.3">
      <c r="I675" s="843"/>
      <c r="J675" s="844"/>
      <c r="K675" s="118"/>
      <c r="M675" s="118"/>
    </row>
    <row r="676" spans="9:13" ht="15.75" customHeight="1" x14ac:dyDescent="0.3">
      <c r="I676" s="843"/>
      <c r="J676" s="844"/>
      <c r="K676" s="118"/>
      <c r="M676" s="118"/>
    </row>
    <row r="677" spans="9:13" ht="15.75" customHeight="1" x14ac:dyDescent="0.3">
      <c r="I677" s="843"/>
      <c r="J677" s="844"/>
      <c r="K677" s="118"/>
      <c r="M677" s="118"/>
    </row>
    <row r="678" spans="9:13" ht="15.75" customHeight="1" x14ac:dyDescent="0.3">
      <c r="I678" s="843"/>
      <c r="J678" s="844"/>
      <c r="K678" s="118"/>
      <c r="M678" s="118"/>
    </row>
    <row r="679" spans="9:13" ht="15.75" customHeight="1" x14ac:dyDescent="0.3">
      <c r="I679" s="843"/>
      <c r="J679" s="844"/>
      <c r="K679" s="118"/>
      <c r="M679" s="118"/>
    </row>
    <row r="680" spans="9:13" ht="15.75" customHeight="1" x14ac:dyDescent="0.3">
      <c r="I680" s="843"/>
      <c r="J680" s="844"/>
      <c r="K680" s="118"/>
      <c r="M680" s="118"/>
    </row>
    <row r="681" spans="9:13" ht="15.75" customHeight="1" x14ac:dyDescent="0.3">
      <c r="I681" s="843"/>
      <c r="J681" s="844"/>
      <c r="K681" s="118"/>
      <c r="M681" s="118"/>
    </row>
    <row r="682" spans="9:13" ht="15.75" customHeight="1" x14ac:dyDescent="0.3">
      <c r="I682" s="843"/>
      <c r="J682" s="844"/>
      <c r="K682" s="118"/>
      <c r="M682" s="118"/>
    </row>
    <row r="683" spans="9:13" ht="15.75" customHeight="1" x14ac:dyDescent="0.3">
      <c r="I683" s="843"/>
      <c r="J683" s="844"/>
      <c r="K683" s="118"/>
      <c r="M683" s="118"/>
    </row>
    <row r="684" spans="9:13" ht="15.75" customHeight="1" x14ac:dyDescent="0.3">
      <c r="I684" s="843"/>
      <c r="J684" s="844"/>
      <c r="K684" s="118"/>
      <c r="M684" s="118"/>
    </row>
    <row r="685" spans="9:13" ht="15.75" customHeight="1" x14ac:dyDescent="0.3">
      <c r="I685" s="843"/>
      <c r="J685" s="844"/>
      <c r="K685" s="118"/>
      <c r="M685" s="118"/>
    </row>
    <row r="686" spans="9:13" ht="15.75" customHeight="1" x14ac:dyDescent="0.3">
      <c r="I686" s="843"/>
      <c r="J686" s="844"/>
      <c r="K686" s="118"/>
      <c r="M686" s="118"/>
    </row>
    <row r="687" spans="9:13" ht="15.75" customHeight="1" x14ac:dyDescent="0.3">
      <c r="I687" s="843"/>
      <c r="J687" s="844"/>
      <c r="K687" s="118"/>
      <c r="M687" s="118"/>
    </row>
    <row r="688" spans="9:13" ht="15.75" customHeight="1" x14ac:dyDescent="0.3">
      <c r="I688" s="843"/>
      <c r="J688" s="844"/>
      <c r="K688" s="118"/>
      <c r="M688" s="118"/>
    </row>
    <row r="689" spans="9:13" ht="15.75" customHeight="1" x14ac:dyDescent="0.3">
      <c r="I689" s="843"/>
      <c r="J689" s="844"/>
      <c r="K689" s="118"/>
      <c r="M689" s="118"/>
    </row>
    <row r="690" spans="9:13" ht="15.75" customHeight="1" x14ac:dyDescent="0.3">
      <c r="I690" s="843"/>
      <c r="J690" s="844"/>
      <c r="K690" s="118"/>
      <c r="M690" s="118"/>
    </row>
    <row r="691" spans="9:13" ht="15.75" customHeight="1" x14ac:dyDescent="0.3">
      <c r="I691" s="843"/>
      <c r="J691" s="844"/>
      <c r="K691" s="118"/>
      <c r="M691" s="118"/>
    </row>
    <row r="692" spans="9:13" ht="15.75" customHeight="1" x14ac:dyDescent="0.3">
      <c r="I692" s="843"/>
      <c r="J692" s="844"/>
      <c r="K692" s="118"/>
      <c r="M692" s="118"/>
    </row>
    <row r="693" spans="9:13" ht="15.75" customHeight="1" x14ac:dyDescent="0.3">
      <c r="I693" s="843"/>
      <c r="J693" s="844"/>
      <c r="K693" s="118"/>
      <c r="M693" s="118"/>
    </row>
    <row r="694" spans="9:13" ht="15.75" customHeight="1" x14ac:dyDescent="0.3">
      <c r="I694" s="843"/>
      <c r="J694" s="844"/>
      <c r="K694" s="118"/>
      <c r="M694" s="118"/>
    </row>
    <row r="695" spans="9:13" ht="15.75" customHeight="1" x14ac:dyDescent="0.3">
      <c r="I695" s="843"/>
      <c r="J695" s="844"/>
      <c r="K695" s="118"/>
      <c r="M695" s="118"/>
    </row>
    <row r="696" spans="9:13" ht="15.75" customHeight="1" x14ac:dyDescent="0.3">
      <c r="I696" s="843"/>
      <c r="J696" s="844"/>
      <c r="K696" s="118"/>
      <c r="M696" s="118"/>
    </row>
    <row r="697" spans="9:13" ht="15.75" customHeight="1" x14ac:dyDescent="0.3">
      <c r="I697" s="843"/>
      <c r="J697" s="844"/>
      <c r="K697" s="118"/>
      <c r="M697" s="118"/>
    </row>
    <row r="698" spans="9:13" ht="15.75" customHeight="1" x14ac:dyDescent="0.3">
      <c r="I698" s="843"/>
      <c r="J698" s="844"/>
      <c r="K698" s="118"/>
      <c r="M698" s="118"/>
    </row>
    <row r="699" spans="9:13" ht="15.75" customHeight="1" x14ac:dyDescent="0.3">
      <c r="I699" s="843"/>
      <c r="J699" s="844"/>
      <c r="K699" s="118"/>
      <c r="M699" s="118"/>
    </row>
    <row r="700" spans="9:13" ht="15.75" customHeight="1" x14ac:dyDescent="0.3">
      <c r="I700" s="843"/>
      <c r="J700" s="844"/>
      <c r="K700" s="118"/>
      <c r="M700" s="118"/>
    </row>
    <row r="701" spans="9:13" ht="15.75" customHeight="1" x14ac:dyDescent="0.3">
      <c r="I701" s="843"/>
      <c r="J701" s="844"/>
      <c r="K701" s="118"/>
      <c r="M701" s="118"/>
    </row>
    <row r="702" spans="9:13" ht="15.75" customHeight="1" x14ac:dyDescent="0.3">
      <c r="I702" s="843"/>
      <c r="J702" s="844"/>
      <c r="K702" s="118"/>
      <c r="M702" s="118"/>
    </row>
    <row r="703" spans="9:13" ht="15.75" customHeight="1" x14ac:dyDescent="0.3">
      <c r="I703" s="843"/>
      <c r="J703" s="844"/>
      <c r="K703" s="118"/>
      <c r="M703" s="118"/>
    </row>
    <row r="704" spans="9:13" ht="15.75" customHeight="1" x14ac:dyDescent="0.3">
      <c r="I704" s="843"/>
      <c r="J704" s="844"/>
      <c r="K704" s="118"/>
      <c r="M704" s="118"/>
    </row>
    <row r="705" spans="9:13" ht="15.75" customHeight="1" x14ac:dyDescent="0.3">
      <c r="I705" s="843"/>
      <c r="J705" s="844"/>
      <c r="K705" s="118"/>
      <c r="M705" s="118"/>
    </row>
    <row r="706" spans="9:13" ht="15.75" customHeight="1" x14ac:dyDescent="0.3">
      <c r="I706" s="843"/>
      <c r="J706" s="844"/>
      <c r="K706" s="118"/>
      <c r="M706" s="118"/>
    </row>
    <row r="707" spans="9:13" ht="15.75" customHeight="1" x14ac:dyDescent="0.3">
      <c r="I707" s="843"/>
      <c r="J707" s="844"/>
      <c r="K707" s="118"/>
      <c r="M707" s="118"/>
    </row>
    <row r="708" spans="9:13" ht="15.75" customHeight="1" x14ac:dyDescent="0.3">
      <c r="I708" s="843"/>
      <c r="J708" s="844"/>
      <c r="K708" s="118"/>
      <c r="M708" s="118"/>
    </row>
    <row r="709" spans="9:13" ht="15.75" customHeight="1" x14ac:dyDescent="0.3">
      <c r="I709" s="843"/>
      <c r="J709" s="844"/>
      <c r="K709" s="118"/>
      <c r="M709" s="118"/>
    </row>
    <row r="710" spans="9:13" ht="15.75" customHeight="1" x14ac:dyDescent="0.3">
      <c r="I710" s="843"/>
      <c r="J710" s="844"/>
      <c r="K710" s="118"/>
      <c r="M710" s="118"/>
    </row>
    <row r="711" spans="9:13" ht="15.75" customHeight="1" x14ac:dyDescent="0.3">
      <c r="I711" s="843"/>
      <c r="J711" s="844"/>
      <c r="K711" s="118"/>
      <c r="M711" s="118"/>
    </row>
    <row r="712" spans="9:13" ht="15.75" customHeight="1" x14ac:dyDescent="0.3">
      <c r="I712" s="843"/>
      <c r="J712" s="844"/>
      <c r="K712" s="118"/>
      <c r="M712" s="118"/>
    </row>
    <row r="713" spans="9:13" ht="15.75" customHeight="1" x14ac:dyDescent="0.3">
      <c r="I713" s="843"/>
      <c r="J713" s="844"/>
      <c r="K713" s="118"/>
      <c r="M713" s="118"/>
    </row>
    <row r="714" spans="9:13" ht="15.75" customHeight="1" x14ac:dyDescent="0.3">
      <c r="I714" s="843"/>
      <c r="J714" s="844"/>
      <c r="K714" s="118"/>
      <c r="M714" s="118"/>
    </row>
    <row r="715" spans="9:13" ht="15.75" customHeight="1" x14ac:dyDescent="0.3">
      <c r="I715" s="843"/>
      <c r="J715" s="844"/>
      <c r="K715" s="118"/>
      <c r="M715" s="118"/>
    </row>
    <row r="716" spans="9:13" ht="15.75" customHeight="1" x14ac:dyDescent="0.3">
      <c r="I716" s="843"/>
      <c r="J716" s="844"/>
      <c r="K716" s="118"/>
      <c r="M716" s="118"/>
    </row>
    <row r="717" spans="9:13" ht="15.75" customHeight="1" x14ac:dyDescent="0.3">
      <c r="I717" s="843"/>
      <c r="J717" s="844"/>
      <c r="K717" s="118"/>
      <c r="M717" s="118"/>
    </row>
    <row r="718" spans="9:13" ht="15.75" customHeight="1" x14ac:dyDescent="0.3">
      <c r="I718" s="843"/>
      <c r="J718" s="844"/>
      <c r="K718" s="118"/>
      <c r="M718" s="118"/>
    </row>
    <row r="719" spans="9:13" ht="15.75" customHeight="1" x14ac:dyDescent="0.3">
      <c r="I719" s="843"/>
      <c r="J719" s="844"/>
      <c r="K719" s="118"/>
      <c r="M719" s="118"/>
    </row>
    <row r="720" spans="9:13" ht="15.75" customHeight="1" x14ac:dyDescent="0.3">
      <c r="I720" s="843"/>
      <c r="J720" s="844"/>
      <c r="K720" s="118"/>
      <c r="M720" s="118"/>
    </row>
    <row r="721" spans="9:13" ht="15.75" customHeight="1" x14ac:dyDescent="0.3">
      <c r="I721" s="843"/>
      <c r="J721" s="844"/>
      <c r="K721" s="118"/>
      <c r="M721" s="118"/>
    </row>
    <row r="722" spans="9:13" ht="15.75" customHeight="1" x14ac:dyDescent="0.3">
      <c r="I722" s="843"/>
      <c r="J722" s="844"/>
      <c r="K722" s="118"/>
      <c r="M722" s="118"/>
    </row>
    <row r="723" spans="9:13" ht="15.75" customHeight="1" x14ac:dyDescent="0.3">
      <c r="I723" s="843"/>
      <c r="J723" s="844"/>
      <c r="K723" s="118"/>
      <c r="M723" s="118"/>
    </row>
    <row r="724" spans="9:13" ht="15.75" customHeight="1" x14ac:dyDescent="0.3">
      <c r="I724" s="843"/>
      <c r="J724" s="844"/>
      <c r="K724" s="118"/>
      <c r="M724" s="118"/>
    </row>
    <row r="725" spans="9:13" ht="15.75" customHeight="1" x14ac:dyDescent="0.3">
      <c r="I725" s="843"/>
      <c r="J725" s="844"/>
      <c r="K725" s="118"/>
      <c r="M725" s="118"/>
    </row>
    <row r="726" spans="9:13" ht="15.75" customHeight="1" x14ac:dyDescent="0.3">
      <c r="I726" s="843"/>
      <c r="J726" s="844"/>
      <c r="K726" s="118"/>
      <c r="M726" s="118"/>
    </row>
    <row r="727" spans="9:13" ht="15.75" customHeight="1" x14ac:dyDescent="0.3">
      <c r="I727" s="843"/>
      <c r="J727" s="844"/>
      <c r="K727" s="118"/>
      <c r="M727" s="118"/>
    </row>
    <row r="728" spans="9:13" ht="15.75" customHeight="1" x14ac:dyDescent="0.3">
      <c r="I728" s="843"/>
      <c r="J728" s="844"/>
      <c r="K728" s="118"/>
      <c r="M728" s="118"/>
    </row>
    <row r="729" spans="9:13" ht="15.75" customHeight="1" x14ac:dyDescent="0.3">
      <c r="I729" s="843"/>
      <c r="J729" s="844"/>
      <c r="K729" s="118"/>
      <c r="M729" s="118"/>
    </row>
    <row r="730" spans="9:13" ht="15.75" customHeight="1" x14ac:dyDescent="0.3">
      <c r="I730" s="843"/>
      <c r="J730" s="844"/>
      <c r="K730" s="118"/>
      <c r="M730" s="118"/>
    </row>
    <row r="731" spans="9:13" ht="15.75" customHeight="1" x14ac:dyDescent="0.3">
      <c r="I731" s="843"/>
      <c r="J731" s="844"/>
      <c r="K731" s="118"/>
      <c r="M731" s="118"/>
    </row>
    <row r="732" spans="9:13" ht="15.75" customHeight="1" x14ac:dyDescent="0.3">
      <c r="I732" s="843"/>
      <c r="J732" s="844"/>
      <c r="K732" s="118"/>
      <c r="M732" s="118"/>
    </row>
    <row r="733" spans="9:13" ht="15.75" customHeight="1" x14ac:dyDescent="0.3">
      <c r="I733" s="843"/>
      <c r="J733" s="844"/>
      <c r="K733" s="118"/>
      <c r="M733" s="118"/>
    </row>
    <row r="734" spans="9:13" ht="15.75" customHeight="1" x14ac:dyDescent="0.3">
      <c r="I734" s="843"/>
      <c r="J734" s="844"/>
      <c r="K734" s="118"/>
      <c r="M734" s="118"/>
    </row>
    <row r="735" spans="9:13" ht="15.75" customHeight="1" x14ac:dyDescent="0.3">
      <c r="I735" s="843"/>
      <c r="J735" s="844"/>
      <c r="K735" s="118"/>
      <c r="M735" s="118"/>
    </row>
    <row r="736" spans="9:13" ht="15.75" customHeight="1" x14ac:dyDescent="0.3">
      <c r="I736" s="843"/>
      <c r="J736" s="844"/>
      <c r="K736" s="118"/>
      <c r="M736" s="118"/>
    </row>
    <row r="737" spans="9:13" ht="15.75" customHeight="1" x14ac:dyDescent="0.3">
      <c r="I737" s="843"/>
      <c r="J737" s="844"/>
      <c r="K737" s="118"/>
      <c r="M737" s="118"/>
    </row>
    <row r="738" spans="9:13" ht="15.75" customHeight="1" x14ac:dyDescent="0.3">
      <c r="I738" s="843"/>
      <c r="J738" s="844"/>
      <c r="K738" s="118"/>
      <c r="M738" s="118"/>
    </row>
    <row r="739" spans="9:13" ht="15.75" customHeight="1" x14ac:dyDescent="0.3">
      <c r="I739" s="843"/>
      <c r="J739" s="844"/>
      <c r="K739" s="118"/>
      <c r="M739" s="118"/>
    </row>
    <row r="740" spans="9:13" ht="15.75" customHeight="1" x14ac:dyDescent="0.3">
      <c r="I740" s="843"/>
      <c r="J740" s="844"/>
      <c r="K740" s="118"/>
      <c r="M740" s="118"/>
    </row>
    <row r="741" spans="9:13" ht="15.75" customHeight="1" x14ac:dyDescent="0.3">
      <c r="I741" s="843"/>
      <c r="J741" s="844"/>
      <c r="K741" s="118"/>
      <c r="M741" s="118"/>
    </row>
    <row r="742" spans="9:13" ht="15.75" customHeight="1" x14ac:dyDescent="0.3">
      <c r="I742" s="843"/>
      <c r="J742" s="844"/>
      <c r="K742" s="118"/>
      <c r="M742" s="118"/>
    </row>
    <row r="743" spans="9:13" ht="15.75" customHeight="1" x14ac:dyDescent="0.3">
      <c r="I743" s="843"/>
      <c r="J743" s="844"/>
      <c r="K743" s="118"/>
      <c r="M743" s="118"/>
    </row>
    <row r="744" spans="9:13" ht="15.75" customHeight="1" x14ac:dyDescent="0.3">
      <c r="I744" s="843"/>
      <c r="J744" s="844"/>
      <c r="K744" s="118"/>
      <c r="M744" s="118"/>
    </row>
    <row r="745" spans="9:13" ht="15.75" customHeight="1" x14ac:dyDescent="0.3">
      <c r="I745" s="843"/>
      <c r="J745" s="844"/>
      <c r="K745" s="118"/>
      <c r="M745" s="118"/>
    </row>
    <row r="746" spans="9:13" ht="15.75" customHeight="1" x14ac:dyDescent="0.3">
      <c r="I746" s="843"/>
      <c r="J746" s="844"/>
      <c r="K746" s="118"/>
      <c r="M746" s="118"/>
    </row>
    <row r="747" spans="9:13" ht="15.75" customHeight="1" x14ac:dyDescent="0.3">
      <c r="I747" s="843"/>
      <c r="J747" s="844"/>
      <c r="K747" s="118"/>
      <c r="M747" s="118"/>
    </row>
    <row r="748" spans="9:13" ht="15.75" customHeight="1" x14ac:dyDescent="0.3">
      <c r="I748" s="843"/>
      <c r="J748" s="844"/>
      <c r="K748" s="118"/>
      <c r="M748" s="118"/>
    </row>
    <row r="749" spans="9:13" ht="15.75" customHeight="1" x14ac:dyDescent="0.3">
      <c r="I749" s="843"/>
      <c r="J749" s="844"/>
      <c r="K749" s="118"/>
      <c r="M749" s="118"/>
    </row>
    <row r="750" spans="9:13" ht="15.75" customHeight="1" x14ac:dyDescent="0.3">
      <c r="I750" s="843"/>
      <c r="J750" s="844"/>
      <c r="K750" s="118"/>
      <c r="M750" s="118"/>
    </row>
    <row r="751" spans="9:13" ht="15.75" customHeight="1" x14ac:dyDescent="0.3">
      <c r="I751" s="843"/>
      <c r="J751" s="844"/>
      <c r="K751" s="118"/>
      <c r="M751" s="118"/>
    </row>
    <row r="752" spans="9:13" ht="15.75" customHeight="1" x14ac:dyDescent="0.3">
      <c r="I752" s="843"/>
      <c r="J752" s="844"/>
      <c r="K752" s="118"/>
      <c r="M752" s="118"/>
    </row>
    <row r="753" spans="9:13" ht="15.75" customHeight="1" x14ac:dyDescent="0.3">
      <c r="I753" s="843"/>
      <c r="J753" s="844"/>
      <c r="K753" s="118"/>
      <c r="M753" s="118"/>
    </row>
    <row r="754" spans="9:13" ht="15.75" customHeight="1" x14ac:dyDescent="0.3">
      <c r="I754" s="843"/>
      <c r="J754" s="844"/>
      <c r="K754" s="118"/>
      <c r="M754" s="118"/>
    </row>
    <row r="755" spans="9:13" ht="15.75" customHeight="1" x14ac:dyDescent="0.3">
      <c r="I755" s="843"/>
      <c r="J755" s="844"/>
      <c r="K755" s="118"/>
      <c r="M755" s="118"/>
    </row>
    <row r="756" spans="9:13" ht="15.75" customHeight="1" x14ac:dyDescent="0.3">
      <c r="I756" s="843"/>
      <c r="J756" s="844"/>
      <c r="K756" s="118"/>
      <c r="M756" s="118"/>
    </row>
    <row r="757" spans="9:13" ht="15.75" customHeight="1" x14ac:dyDescent="0.3">
      <c r="I757" s="843"/>
      <c r="J757" s="844"/>
      <c r="K757" s="118"/>
      <c r="M757" s="118"/>
    </row>
    <row r="758" spans="9:13" ht="15.75" customHeight="1" x14ac:dyDescent="0.3">
      <c r="I758" s="843"/>
      <c r="J758" s="844"/>
      <c r="K758" s="118"/>
      <c r="M758" s="118"/>
    </row>
    <row r="759" spans="9:13" ht="15.75" customHeight="1" x14ac:dyDescent="0.3">
      <c r="I759" s="843"/>
      <c r="J759" s="844"/>
      <c r="K759" s="118"/>
      <c r="M759" s="118"/>
    </row>
    <row r="760" spans="9:13" ht="15.75" customHeight="1" x14ac:dyDescent="0.3">
      <c r="I760" s="843"/>
      <c r="J760" s="844"/>
      <c r="K760" s="118"/>
      <c r="M760" s="118"/>
    </row>
    <row r="761" spans="9:13" ht="15.75" customHeight="1" x14ac:dyDescent="0.3">
      <c r="I761" s="843"/>
      <c r="J761" s="844"/>
      <c r="K761" s="118"/>
      <c r="M761" s="118"/>
    </row>
    <row r="762" spans="9:13" ht="15.75" customHeight="1" x14ac:dyDescent="0.3">
      <c r="I762" s="843"/>
      <c r="J762" s="844"/>
      <c r="K762" s="118"/>
      <c r="M762" s="118"/>
    </row>
    <row r="763" spans="9:13" ht="15.75" customHeight="1" x14ac:dyDescent="0.3">
      <c r="I763" s="843"/>
      <c r="J763" s="844"/>
      <c r="K763" s="118"/>
      <c r="M763" s="118"/>
    </row>
    <row r="764" spans="9:13" ht="15.75" customHeight="1" x14ac:dyDescent="0.3">
      <c r="I764" s="843"/>
      <c r="J764" s="844"/>
      <c r="K764" s="118"/>
      <c r="M764" s="118"/>
    </row>
    <row r="765" spans="9:13" ht="15.75" customHeight="1" x14ac:dyDescent="0.3">
      <c r="I765" s="843"/>
      <c r="J765" s="844"/>
      <c r="K765" s="118"/>
      <c r="M765" s="118"/>
    </row>
    <row r="766" spans="9:13" ht="15.75" customHeight="1" x14ac:dyDescent="0.3">
      <c r="I766" s="843"/>
      <c r="J766" s="844"/>
      <c r="K766" s="118"/>
      <c r="M766" s="118"/>
    </row>
    <row r="767" spans="9:13" ht="15.75" customHeight="1" x14ac:dyDescent="0.3">
      <c r="I767" s="843"/>
      <c r="J767" s="844"/>
      <c r="K767" s="118"/>
      <c r="M767" s="118"/>
    </row>
    <row r="768" spans="9:13" ht="15.75" customHeight="1" x14ac:dyDescent="0.3">
      <c r="I768" s="843"/>
      <c r="J768" s="844"/>
      <c r="K768" s="118"/>
      <c r="M768" s="118"/>
    </row>
    <row r="769" spans="9:13" ht="15.75" customHeight="1" x14ac:dyDescent="0.3">
      <c r="I769" s="843"/>
      <c r="J769" s="844"/>
      <c r="K769" s="118"/>
      <c r="M769" s="118"/>
    </row>
    <row r="770" spans="9:13" ht="15.75" customHeight="1" x14ac:dyDescent="0.3">
      <c r="I770" s="843"/>
      <c r="J770" s="844"/>
      <c r="K770" s="118"/>
      <c r="M770" s="118"/>
    </row>
    <row r="771" spans="9:13" ht="15.75" customHeight="1" x14ac:dyDescent="0.3">
      <c r="I771" s="843"/>
      <c r="J771" s="844"/>
      <c r="K771" s="118"/>
      <c r="M771" s="118"/>
    </row>
    <row r="772" spans="9:13" ht="15.75" customHeight="1" x14ac:dyDescent="0.3">
      <c r="I772" s="843"/>
      <c r="J772" s="844"/>
      <c r="K772" s="118"/>
      <c r="M772" s="118"/>
    </row>
    <row r="773" spans="9:13" ht="15.75" customHeight="1" x14ac:dyDescent="0.3">
      <c r="I773" s="843"/>
      <c r="J773" s="844"/>
      <c r="K773" s="118"/>
      <c r="M773" s="118"/>
    </row>
    <row r="774" spans="9:13" ht="15.75" customHeight="1" x14ac:dyDescent="0.3">
      <c r="I774" s="843"/>
      <c r="J774" s="844"/>
      <c r="K774" s="118"/>
      <c r="M774" s="118"/>
    </row>
    <row r="775" spans="9:13" ht="15.75" customHeight="1" x14ac:dyDescent="0.3">
      <c r="I775" s="843"/>
      <c r="J775" s="844"/>
      <c r="K775" s="118"/>
      <c r="M775" s="118"/>
    </row>
    <row r="776" spans="9:13" ht="15.75" customHeight="1" x14ac:dyDescent="0.3">
      <c r="I776" s="843"/>
      <c r="J776" s="844"/>
      <c r="K776" s="118"/>
      <c r="M776" s="118"/>
    </row>
    <row r="777" spans="9:13" ht="15.75" customHeight="1" x14ac:dyDescent="0.3">
      <c r="I777" s="843"/>
      <c r="J777" s="844"/>
      <c r="K777" s="118"/>
      <c r="M777" s="118"/>
    </row>
    <row r="778" spans="9:13" ht="15.75" customHeight="1" x14ac:dyDescent="0.3">
      <c r="I778" s="843"/>
      <c r="J778" s="844"/>
      <c r="K778" s="118"/>
      <c r="M778" s="118"/>
    </row>
    <row r="779" spans="9:13" ht="15.75" customHeight="1" x14ac:dyDescent="0.3">
      <c r="I779" s="843"/>
      <c r="J779" s="844"/>
      <c r="K779" s="118"/>
      <c r="M779" s="118"/>
    </row>
    <row r="780" spans="9:13" ht="15.75" customHeight="1" x14ac:dyDescent="0.3">
      <c r="I780" s="843"/>
      <c r="J780" s="844"/>
      <c r="K780" s="118"/>
      <c r="M780" s="118"/>
    </row>
    <row r="781" spans="9:13" ht="15.75" customHeight="1" x14ac:dyDescent="0.3">
      <c r="I781" s="843"/>
      <c r="J781" s="844"/>
      <c r="K781" s="118"/>
      <c r="M781" s="118"/>
    </row>
    <row r="782" spans="9:13" ht="15.75" customHeight="1" x14ac:dyDescent="0.3">
      <c r="I782" s="843"/>
      <c r="J782" s="844"/>
      <c r="K782" s="118"/>
      <c r="M782" s="118"/>
    </row>
    <row r="783" spans="9:13" ht="15.75" customHeight="1" x14ac:dyDescent="0.3">
      <c r="I783" s="843"/>
      <c r="J783" s="844"/>
      <c r="K783" s="118"/>
      <c r="M783" s="118"/>
    </row>
    <row r="784" spans="9:13" ht="15.75" customHeight="1" x14ac:dyDescent="0.3">
      <c r="I784" s="843"/>
      <c r="J784" s="844"/>
      <c r="K784" s="118"/>
      <c r="M784" s="118"/>
    </row>
    <row r="785" spans="9:13" ht="15.75" customHeight="1" x14ac:dyDescent="0.3">
      <c r="I785" s="843"/>
      <c r="J785" s="844"/>
      <c r="K785" s="118"/>
      <c r="M785" s="118"/>
    </row>
    <row r="786" spans="9:13" ht="15.75" customHeight="1" x14ac:dyDescent="0.3">
      <c r="I786" s="843"/>
      <c r="J786" s="844"/>
      <c r="K786" s="118"/>
      <c r="M786" s="118"/>
    </row>
    <row r="787" spans="9:13" ht="15.75" customHeight="1" x14ac:dyDescent="0.3">
      <c r="I787" s="843"/>
      <c r="J787" s="844"/>
      <c r="K787" s="118"/>
      <c r="M787" s="118"/>
    </row>
    <row r="788" spans="9:13" ht="15.75" customHeight="1" x14ac:dyDescent="0.3">
      <c r="I788" s="843"/>
      <c r="J788" s="844"/>
      <c r="K788" s="118"/>
      <c r="M788" s="118"/>
    </row>
    <row r="789" spans="9:13" ht="15.75" customHeight="1" x14ac:dyDescent="0.3">
      <c r="I789" s="843"/>
      <c r="J789" s="844"/>
      <c r="K789" s="118"/>
      <c r="M789" s="118"/>
    </row>
    <row r="790" spans="9:13" ht="15.75" customHeight="1" x14ac:dyDescent="0.3">
      <c r="I790" s="843"/>
      <c r="J790" s="844"/>
      <c r="K790" s="118"/>
      <c r="M790" s="118"/>
    </row>
    <row r="791" spans="9:13" ht="15.75" customHeight="1" x14ac:dyDescent="0.3">
      <c r="I791" s="843"/>
      <c r="J791" s="844"/>
      <c r="K791" s="118"/>
      <c r="M791" s="118"/>
    </row>
    <row r="792" spans="9:13" ht="15.75" customHeight="1" x14ac:dyDescent="0.3">
      <c r="I792" s="843"/>
      <c r="J792" s="844"/>
      <c r="K792" s="118"/>
      <c r="M792" s="118"/>
    </row>
    <row r="793" spans="9:13" ht="15.75" customHeight="1" x14ac:dyDescent="0.3">
      <c r="I793" s="843"/>
      <c r="J793" s="844"/>
      <c r="K793" s="118"/>
      <c r="M793" s="118"/>
    </row>
    <row r="794" spans="9:13" ht="15.75" customHeight="1" x14ac:dyDescent="0.3">
      <c r="I794" s="843"/>
      <c r="J794" s="844"/>
      <c r="K794" s="118"/>
      <c r="M794" s="118"/>
    </row>
    <row r="795" spans="9:13" ht="15.75" customHeight="1" x14ac:dyDescent="0.3">
      <c r="I795" s="843"/>
      <c r="J795" s="844"/>
      <c r="K795" s="118"/>
      <c r="M795" s="118"/>
    </row>
    <row r="796" spans="9:13" ht="15.75" customHeight="1" x14ac:dyDescent="0.3">
      <c r="I796" s="843"/>
      <c r="J796" s="844"/>
      <c r="K796" s="118"/>
      <c r="M796" s="118"/>
    </row>
    <row r="797" spans="9:13" ht="15.75" customHeight="1" x14ac:dyDescent="0.3">
      <c r="I797" s="843"/>
      <c r="J797" s="844"/>
      <c r="K797" s="118"/>
      <c r="M797" s="118"/>
    </row>
    <row r="798" spans="9:13" ht="15.75" customHeight="1" x14ac:dyDescent="0.3">
      <c r="I798" s="843"/>
      <c r="J798" s="844"/>
      <c r="K798" s="118"/>
      <c r="M798" s="118"/>
    </row>
    <row r="799" spans="9:13" ht="15.75" customHeight="1" x14ac:dyDescent="0.3">
      <c r="I799" s="843"/>
      <c r="J799" s="844"/>
      <c r="K799" s="118"/>
      <c r="M799" s="118"/>
    </row>
    <row r="800" spans="9:13" ht="15.75" customHeight="1" x14ac:dyDescent="0.3">
      <c r="I800" s="843"/>
      <c r="J800" s="844"/>
      <c r="K800" s="118"/>
      <c r="M800" s="118"/>
    </row>
    <row r="801" spans="9:13" ht="15.75" customHeight="1" x14ac:dyDescent="0.3">
      <c r="I801" s="843"/>
      <c r="J801" s="844"/>
      <c r="K801" s="118"/>
      <c r="M801" s="118"/>
    </row>
    <row r="802" spans="9:13" ht="15.75" customHeight="1" x14ac:dyDescent="0.3">
      <c r="I802" s="843"/>
      <c r="J802" s="844"/>
      <c r="K802" s="118"/>
      <c r="M802" s="118"/>
    </row>
    <row r="803" spans="9:13" ht="15.75" customHeight="1" x14ac:dyDescent="0.3">
      <c r="I803" s="843"/>
      <c r="J803" s="844"/>
      <c r="K803" s="118"/>
      <c r="M803" s="118"/>
    </row>
    <row r="804" spans="9:13" ht="15.75" customHeight="1" x14ac:dyDescent="0.3">
      <c r="I804" s="843"/>
      <c r="J804" s="844"/>
      <c r="K804" s="118"/>
      <c r="M804" s="118"/>
    </row>
    <row r="805" spans="9:13" ht="15.75" customHeight="1" x14ac:dyDescent="0.3">
      <c r="I805" s="843"/>
      <c r="J805" s="844"/>
      <c r="K805" s="118"/>
      <c r="M805" s="118"/>
    </row>
    <row r="806" spans="9:13" ht="15.75" customHeight="1" x14ac:dyDescent="0.3">
      <c r="I806" s="843"/>
      <c r="J806" s="844"/>
      <c r="K806" s="118"/>
      <c r="M806" s="118"/>
    </row>
    <row r="807" spans="9:13" ht="15.75" customHeight="1" x14ac:dyDescent="0.3">
      <c r="I807" s="843"/>
      <c r="J807" s="844"/>
      <c r="K807" s="118"/>
      <c r="M807" s="118"/>
    </row>
    <row r="808" spans="9:13" ht="15.75" customHeight="1" x14ac:dyDescent="0.3">
      <c r="I808" s="843"/>
      <c r="J808" s="844"/>
      <c r="K808" s="118"/>
      <c r="M808" s="118"/>
    </row>
    <row r="809" spans="9:13" ht="15.75" customHeight="1" x14ac:dyDescent="0.3">
      <c r="I809" s="843"/>
      <c r="J809" s="844"/>
      <c r="K809" s="118"/>
      <c r="M809" s="118"/>
    </row>
    <row r="810" spans="9:13" ht="15.75" customHeight="1" x14ac:dyDescent="0.3">
      <c r="I810" s="843"/>
      <c r="J810" s="844"/>
      <c r="K810" s="118"/>
      <c r="M810" s="118"/>
    </row>
    <row r="811" spans="9:13" ht="15.75" customHeight="1" x14ac:dyDescent="0.3">
      <c r="I811" s="843"/>
      <c r="J811" s="844"/>
      <c r="K811" s="118"/>
      <c r="M811" s="118"/>
    </row>
    <row r="812" spans="9:13" ht="15.75" customHeight="1" x14ac:dyDescent="0.3">
      <c r="I812" s="843"/>
      <c r="J812" s="844"/>
      <c r="K812" s="118"/>
      <c r="M812" s="118"/>
    </row>
    <row r="813" spans="9:13" ht="15.75" customHeight="1" x14ac:dyDescent="0.3">
      <c r="I813" s="843"/>
      <c r="J813" s="844"/>
      <c r="K813" s="118"/>
      <c r="M813" s="118"/>
    </row>
    <row r="814" spans="9:13" ht="15.75" customHeight="1" x14ac:dyDescent="0.3">
      <c r="I814" s="843"/>
      <c r="J814" s="844"/>
      <c r="K814" s="118"/>
      <c r="M814" s="118"/>
    </row>
    <row r="815" spans="9:13" ht="15.75" customHeight="1" x14ac:dyDescent="0.3">
      <c r="I815" s="843"/>
      <c r="J815" s="844"/>
      <c r="K815" s="118"/>
      <c r="M815" s="118"/>
    </row>
    <row r="816" spans="9:13" ht="15.75" customHeight="1" x14ac:dyDescent="0.3">
      <c r="I816" s="843"/>
      <c r="J816" s="844"/>
      <c r="K816" s="118"/>
      <c r="M816" s="118"/>
    </row>
    <row r="817" spans="9:13" ht="15.75" customHeight="1" x14ac:dyDescent="0.3">
      <c r="I817" s="843"/>
      <c r="J817" s="844"/>
      <c r="K817" s="118"/>
      <c r="M817" s="118"/>
    </row>
    <row r="818" spans="9:13" ht="15.75" customHeight="1" x14ac:dyDescent="0.3">
      <c r="I818" s="843"/>
      <c r="J818" s="844"/>
      <c r="K818" s="118"/>
      <c r="M818" s="118"/>
    </row>
    <row r="819" spans="9:13" ht="15.75" customHeight="1" x14ac:dyDescent="0.3">
      <c r="I819" s="843"/>
      <c r="J819" s="844"/>
      <c r="K819" s="118"/>
      <c r="M819" s="118"/>
    </row>
    <row r="820" spans="9:13" ht="15.75" customHeight="1" x14ac:dyDescent="0.3">
      <c r="I820" s="843"/>
      <c r="J820" s="844"/>
      <c r="K820" s="118"/>
      <c r="M820" s="118"/>
    </row>
    <row r="821" spans="9:13" ht="15.75" customHeight="1" x14ac:dyDescent="0.3">
      <c r="I821" s="843"/>
      <c r="J821" s="844"/>
      <c r="K821" s="118"/>
      <c r="M821" s="118"/>
    </row>
    <row r="822" spans="9:13" ht="15.75" customHeight="1" x14ac:dyDescent="0.3">
      <c r="I822" s="843"/>
      <c r="J822" s="844"/>
      <c r="K822" s="118"/>
      <c r="M822" s="118"/>
    </row>
    <row r="823" spans="9:13" ht="15.75" customHeight="1" x14ac:dyDescent="0.3">
      <c r="I823" s="843"/>
      <c r="J823" s="844"/>
      <c r="K823" s="118"/>
      <c r="M823" s="118"/>
    </row>
    <row r="824" spans="9:13" ht="15.75" customHeight="1" x14ac:dyDescent="0.3">
      <c r="I824" s="843"/>
      <c r="J824" s="844"/>
      <c r="K824" s="118"/>
      <c r="M824" s="118"/>
    </row>
    <row r="825" spans="9:13" ht="15.75" customHeight="1" x14ac:dyDescent="0.3">
      <c r="I825" s="843"/>
      <c r="J825" s="844"/>
      <c r="K825" s="118"/>
      <c r="M825" s="118"/>
    </row>
    <row r="826" spans="9:13" ht="15.75" customHeight="1" x14ac:dyDescent="0.3">
      <c r="I826" s="843"/>
      <c r="J826" s="844"/>
      <c r="K826" s="118"/>
      <c r="M826" s="118"/>
    </row>
    <row r="827" spans="9:13" ht="15.75" customHeight="1" x14ac:dyDescent="0.3">
      <c r="I827" s="843"/>
      <c r="J827" s="844"/>
      <c r="K827" s="118"/>
      <c r="M827" s="118"/>
    </row>
    <row r="828" spans="9:13" ht="15.75" customHeight="1" x14ac:dyDescent="0.3">
      <c r="I828" s="843"/>
      <c r="J828" s="844"/>
      <c r="K828" s="118"/>
      <c r="M828" s="118"/>
    </row>
    <row r="829" spans="9:13" ht="15.75" customHeight="1" x14ac:dyDescent="0.3">
      <c r="I829" s="843"/>
      <c r="J829" s="844"/>
      <c r="K829" s="118"/>
      <c r="M829" s="118"/>
    </row>
    <row r="830" spans="9:13" ht="15.75" customHeight="1" x14ac:dyDescent="0.3">
      <c r="I830" s="843"/>
      <c r="J830" s="844"/>
      <c r="K830" s="118"/>
      <c r="M830" s="118"/>
    </row>
    <row r="831" spans="9:13" ht="15.75" customHeight="1" x14ac:dyDescent="0.3">
      <c r="I831" s="843"/>
      <c r="J831" s="844"/>
      <c r="K831" s="118"/>
      <c r="M831" s="118"/>
    </row>
    <row r="832" spans="9:13" ht="15.75" customHeight="1" x14ac:dyDescent="0.3">
      <c r="I832" s="843"/>
      <c r="J832" s="844"/>
      <c r="K832" s="118"/>
      <c r="M832" s="118"/>
    </row>
    <row r="833" spans="9:13" ht="15.75" customHeight="1" x14ac:dyDescent="0.3">
      <c r="I833" s="843"/>
      <c r="J833" s="844"/>
      <c r="K833" s="118"/>
      <c r="M833" s="118"/>
    </row>
    <row r="834" spans="9:13" ht="15.75" customHeight="1" x14ac:dyDescent="0.3">
      <c r="I834" s="843"/>
      <c r="J834" s="844"/>
      <c r="K834" s="118"/>
      <c r="M834" s="118"/>
    </row>
    <row r="835" spans="9:13" ht="15.75" customHeight="1" x14ac:dyDescent="0.3">
      <c r="I835" s="843"/>
      <c r="J835" s="844"/>
      <c r="K835" s="118"/>
      <c r="M835" s="118"/>
    </row>
    <row r="836" spans="9:13" ht="15.75" customHeight="1" x14ac:dyDescent="0.3">
      <c r="I836" s="843"/>
      <c r="J836" s="844"/>
      <c r="K836" s="118"/>
      <c r="M836" s="118"/>
    </row>
    <row r="837" spans="9:13" ht="15.75" customHeight="1" x14ac:dyDescent="0.3">
      <c r="I837" s="843"/>
      <c r="J837" s="844"/>
      <c r="K837" s="118"/>
      <c r="M837" s="118"/>
    </row>
    <row r="838" spans="9:13" ht="15.75" customHeight="1" x14ac:dyDescent="0.3">
      <c r="I838" s="843"/>
      <c r="J838" s="844"/>
      <c r="K838" s="118"/>
      <c r="M838" s="118"/>
    </row>
    <row r="839" spans="9:13" ht="15.75" customHeight="1" x14ac:dyDescent="0.3">
      <c r="I839" s="843"/>
      <c r="J839" s="844"/>
      <c r="K839" s="118"/>
      <c r="M839" s="118"/>
    </row>
    <row r="840" spans="9:13" ht="15.75" customHeight="1" x14ac:dyDescent="0.3">
      <c r="I840" s="843"/>
      <c r="J840" s="844"/>
      <c r="K840" s="118"/>
      <c r="M840" s="118"/>
    </row>
    <row r="841" spans="9:13" ht="15.75" customHeight="1" x14ac:dyDescent="0.3">
      <c r="I841" s="843"/>
      <c r="J841" s="844"/>
      <c r="K841" s="118"/>
      <c r="M841" s="118"/>
    </row>
    <row r="842" spans="9:13" ht="15.75" customHeight="1" x14ac:dyDescent="0.3">
      <c r="I842" s="843"/>
      <c r="J842" s="844"/>
      <c r="K842" s="118"/>
      <c r="M842" s="118"/>
    </row>
    <row r="843" spans="9:13" ht="15.75" customHeight="1" x14ac:dyDescent="0.3">
      <c r="I843" s="843"/>
      <c r="J843" s="844"/>
      <c r="K843" s="118"/>
      <c r="M843" s="118"/>
    </row>
    <row r="844" spans="9:13" ht="15.75" customHeight="1" x14ac:dyDescent="0.3">
      <c r="I844" s="843"/>
      <c r="J844" s="844"/>
      <c r="K844" s="118"/>
      <c r="M844" s="118"/>
    </row>
    <row r="845" spans="9:13" ht="15.75" customHeight="1" x14ac:dyDescent="0.3">
      <c r="I845" s="843"/>
      <c r="J845" s="844"/>
      <c r="K845" s="118"/>
      <c r="M845" s="118"/>
    </row>
    <row r="846" spans="9:13" ht="15.75" customHeight="1" x14ac:dyDescent="0.3">
      <c r="I846" s="843"/>
      <c r="J846" s="844"/>
      <c r="K846" s="118"/>
      <c r="M846" s="118"/>
    </row>
    <row r="847" spans="9:13" ht="15.75" customHeight="1" x14ac:dyDescent="0.3">
      <c r="I847" s="843"/>
      <c r="J847" s="844"/>
      <c r="K847" s="118"/>
      <c r="M847" s="118"/>
    </row>
    <row r="848" spans="9:13" ht="15.75" customHeight="1" x14ac:dyDescent="0.3">
      <c r="I848" s="843"/>
      <c r="J848" s="844"/>
      <c r="K848" s="118"/>
      <c r="M848" s="118"/>
    </row>
    <row r="849" spans="9:13" ht="15.75" customHeight="1" x14ac:dyDescent="0.3">
      <c r="I849" s="843"/>
      <c r="J849" s="844"/>
      <c r="K849" s="118"/>
      <c r="M849" s="118"/>
    </row>
    <row r="850" spans="9:13" ht="15.75" customHeight="1" x14ac:dyDescent="0.3">
      <c r="I850" s="843"/>
      <c r="J850" s="844"/>
      <c r="K850" s="118"/>
      <c r="M850" s="118"/>
    </row>
    <row r="851" spans="9:13" ht="15.75" customHeight="1" x14ac:dyDescent="0.3">
      <c r="I851" s="843"/>
      <c r="J851" s="844"/>
      <c r="K851" s="118"/>
      <c r="M851" s="118"/>
    </row>
    <row r="852" spans="9:13" ht="15.75" customHeight="1" x14ac:dyDescent="0.3">
      <c r="I852" s="843"/>
      <c r="J852" s="844"/>
      <c r="K852" s="118"/>
      <c r="M852" s="118"/>
    </row>
    <row r="853" spans="9:13" ht="15.75" customHeight="1" x14ac:dyDescent="0.3">
      <c r="I853" s="843"/>
      <c r="J853" s="844"/>
      <c r="K853" s="118"/>
      <c r="M853" s="118"/>
    </row>
    <row r="854" spans="9:13" ht="15.75" customHeight="1" x14ac:dyDescent="0.3">
      <c r="I854" s="843"/>
      <c r="J854" s="844"/>
      <c r="K854" s="118"/>
      <c r="M854" s="118"/>
    </row>
    <row r="855" spans="9:13" ht="15.75" customHeight="1" x14ac:dyDescent="0.3">
      <c r="I855" s="843"/>
      <c r="J855" s="844"/>
      <c r="K855" s="118"/>
      <c r="M855" s="118"/>
    </row>
    <row r="856" spans="9:13" ht="15.75" customHeight="1" x14ac:dyDescent="0.3">
      <c r="I856" s="843"/>
      <c r="J856" s="844"/>
      <c r="K856" s="118"/>
      <c r="M856" s="118"/>
    </row>
    <row r="857" spans="9:13" ht="15.75" customHeight="1" x14ac:dyDescent="0.3">
      <c r="I857" s="843"/>
      <c r="J857" s="844"/>
      <c r="K857" s="118"/>
      <c r="M857" s="118"/>
    </row>
    <row r="858" spans="9:13" ht="15.75" customHeight="1" x14ac:dyDescent="0.3">
      <c r="I858" s="843"/>
      <c r="J858" s="844"/>
      <c r="K858" s="118"/>
      <c r="M858" s="118"/>
    </row>
    <row r="859" spans="9:13" ht="15.75" customHeight="1" x14ac:dyDescent="0.3">
      <c r="I859" s="843"/>
      <c r="J859" s="844"/>
      <c r="K859" s="118"/>
      <c r="M859" s="118"/>
    </row>
    <row r="860" spans="9:13" ht="15.75" customHeight="1" x14ac:dyDescent="0.3">
      <c r="I860" s="843"/>
      <c r="J860" s="844"/>
      <c r="K860" s="118"/>
      <c r="M860" s="118"/>
    </row>
    <row r="861" spans="9:13" ht="15.75" customHeight="1" x14ac:dyDescent="0.3">
      <c r="I861" s="843"/>
      <c r="J861" s="844"/>
      <c r="K861" s="118"/>
      <c r="M861" s="118"/>
    </row>
    <row r="862" spans="9:13" ht="15.75" customHeight="1" x14ac:dyDescent="0.3">
      <c r="I862" s="843"/>
      <c r="J862" s="844"/>
      <c r="K862" s="118"/>
      <c r="M862" s="118"/>
    </row>
    <row r="863" spans="9:13" ht="15.75" customHeight="1" x14ac:dyDescent="0.3">
      <c r="I863" s="843"/>
      <c r="J863" s="844"/>
      <c r="K863" s="118"/>
      <c r="M863" s="118"/>
    </row>
    <row r="864" spans="9:13" ht="15.75" customHeight="1" x14ac:dyDescent="0.3">
      <c r="I864" s="843"/>
      <c r="J864" s="844"/>
      <c r="K864" s="118"/>
      <c r="M864" s="118"/>
    </row>
    <row r="865" spans="9:13" ht="15.75" customHeight="1" x14ac:dyDescent="0.3">
      <c r="I865" s="843"/>
      <c r="J865" s="844"/>
      <c r="K865" s="118"/>
      <c r="M865" s="118"/>
    </row>
    <row r="866" spans="9:13" ht="15.75" customHeight="1" x14ac:dyDescent="0.3">
      <c r="I866" s="843"/>
      <c r="J866" s="844"/>
      <c r="K866" s="118"/>
      <c r="M866" s="118"/>
    </row>
    <row r="867" spans="9:13" ht="15.75" customHeight="1" x14ac:dyDescent="0.3">
      <c r="I867" s="843"/>
      <c r="J867" s="844"/>
      <c r="K867" s="118"/>
      <c r="M867" s="118"/>
    </row>
    <row r="868" spans="9:13" ht="15.75" customHeight="1" x14ac:dyDescent="0.3">
      <c r="I868" s="843"/>
      <c r="J868" s="844"/>
      <c r="K868" s="118"/>
      <c r="M868" s="118"/>
    </row>
    <row r="869" spans="9:13" ht="15.75" customHeight="1" x14ac:dyDescent="0.3">
      <c r="I869" s="843"/>
      <c r="J869" s="844"/>
      <c r="K869" s="118"/>
      <c r="M869" s="118"/>
    </row>
    <row r="870" spans="9:13" ht="15.75" customHeight="1" x14ac:dyDescent="0.3">
      <c r="I870" s="843"/>
      <c r="J870" s="844"/>
      <c r="K870" s="118"/>
      <c r="M870" s="118"/>
    </row>
    <row r="871" spans="9:13" ht="15.75" customHeight="1" x14ac:dyDescent="0.3">
      <c r="I871" s="843"/>
      <c r="J871" s="844"/>
      <c r="K871" s="118"/>
      <c r="M871" s="118"/>
    </row>
    <row r="872" spans="9:13" ht="15.75" customHeight="1" x14ac:dyDescent="0.3">
      <c r="I872" s="843"/>
      <c r="J872" s="844"/>
      <c r="K872" s="118"/>
      <c r="M872" s="118"/>
    </row>
    <row r="873" spans="9:13" ht="15.75" customHeight="1" x14ac:dyDescent="0.3">
      <c r="I873" s="843"/>
      <c r="J873" s="844"/>
      <c r="K873" s="118"/>
      <c r="M873" s="118"/>
    </row>
    <row r="874" spans="9:13" ht="15.75" customHeight="1" x14ac:dyDescent="0.3">
      <c r="I874" s="843"/>
      <c r="J874" s="844"/>
      <c r="K874" s="118"/>
      <c r="M874" s="118"/>
    </row>
    <row r="875" spans="9:13" ht="15.75" customHeight="1" x14ac:dyDescent="0.3">
      <c r="I875" s="843"/>
      <c r="J875" s="844"/>
      <c r="K875" s="118"/>
      <c r="M875" s="118"/>
    </row>
    <row r="876" spans="9:13" ht="15.75" customHeight="1" x14ac:dyDescent="0.3">
      <c r="I876" s="843"/>
      <c r="J876" s="844"/>
      <c r="K876" s="118"/>
      <c r="M876" s="118"/>
    </row>
    <row r="877" spans="9:13" ht="15.75" customHeight="1" x14ac:dyDescent="0.3">
      <c r="I877" s="843"/>
      <c r="J877" s="844"/>
      <c r="K877" s="118"/>
      <c r="M877" s="118"/>
    </row>
    <row r="878" spans="9:13" ht="15.75" customHeight="1" x14ac:dyDescent="0.3">
      <c r="I878" s="843"/>
      <c r="J878" s="844"/>
      <c r="K878" s="118"/>
      <c r="M878" s="118"/>
    </row>
    <row r="879" spans="9:13" ht="15.75" customHeight="1" x14ac:dyDescent="0.3">
      <c r="I879" s="843"/>
      <c r="J879" s="844"/>
      <c r="K879" s="118"/>
      <c r="M879" s="118"/>
    </row>
    <row r="880" spans="9:13" ht="15.75" customHeight="1" x14ac:dyDescent="0.3">
      <c r="I880" s="843"/>
      <c r="J880" s="844"/>
      <c r="K880" s="118"/>
      <c r="M880" s="118"/>
    </row>
    <row r="881" spans="9:13" ht="15.75" customHeight="1" x14ac:dyDescent="0.3">
      <c r="I881" s="843"/>
      <c r="J881" s="844"/>
      <c r="K881" s="118"/>
      <c r="M881" s="118"/>
    </row>
    <row r="882" spans="9:13" ht="15.75" customHeight="1" x14ac:dyDescent="0.3">
      <c r="I882" s="843"/>
      <c r="J882" s="844"/>
      <c r="K882" s="118"/>
      <c r="M882" s="118"/>
    </row>
    <row r="883" spans="9:13" ht="15.75" customHeight="1" x14ac:dyDescent="0.3">
      <c r="I883" s="843"/>
      <c r="J883" s="844"/>
      <c r="K883" s="118"/>
      <c r="M883" s="118"/>
    </row>
    <row r="884" spans="9:13" ht="15.75" customHeight="1" x14ac:dyDescent="0.3">
      <c r="I884" s="843"/>
      <c r="J884" s="844"/>
      <c r="K884" s="118"/>
      <c r="M884" s="118"/>
    </row>
    <row r="885" spans="9:13" ht="15.75" customHeight="1" x14ac:dyDescent="0.3">
      <c r="I885" s="843"/>
      <c r="J885" s="844"/>
      <c r="K885" s="118"/>
      <c r="M885" s="118"/>
    </row>
    <row r="886" spans="9:13" ht="15.75" customHeight="1" x14ac:dyDescent="0.3">
      <c r="I886" s="843"/>
      <c r="J886" s="844"/>
      <c r="K886" s="118"/>
      <c r="M886" s="118"/>
    </row>
    <row r="887" spans="9:13" ht="15.75" customHeight="1" x14ac:dyDescent="0.3">
      <c r="I887" s="843"/>
      <c r="J887" s="844"/>
      <c r="K887" s="118"/>
      <c r="M887" s="118"/>
    </row>
    <row r="888" spans="9:13" ht="15.75" customHeight="1" x14ac:dyDescent="0.3">
      <c r="I888" s="843"/>
      <c r="J888" s="844"/>
      <c r="K888" s="118"/>
      <c r="M888" s="118"/>
    </row>
    <row r="889" spans="9:13" ht="15.75" customHeight="1" x14ac:dyDescent="0.3">
      <c r="I889" s="843"/>
      <c r="J889" s="844"/>
      <c r="K889" s="118"/>
      <c r="M889" s="118"/>
    </row>
    <row r="890" spans="9:13" ht="15.75" customHeight="1" x14ac:dyDescent="0.3">
      <c r="I890" s="843"/>
      <c r="J890" s="844"/>
      <c r="K890" s="118"/>
      <c r="M890" s="118"/>
    </row>
    <row r="891" spans="9:13" ht="15.75" customHeight="1" x14ac:dyDescent="0.3">
      <c r="I891" s="843"/>
      <c r="J891" s="844"/>
      <c r="K891" s="118"/>
      <c r="M891" s="118"/>
    </row>
    <row r="892" spans="9:13" ht="15.75" customHeight="1" x14ac:dyDescent="0.3">
      <c r="I892" s="843"/>
      <c r="J892" s="844"/>
      <c r="K892" s="118"/>
      <c r="M892" s="118"/>
    </row>
    <row r="893" spans="9:13" ht="15.75" customHeight="1" x14ac:dyDescent="0.3">
      <c r="I893" s="843"/>
      <c r="J893" s="844"/>
      <c r="K893" s="118"/>
      <c r="M893" s="118"/>
    </row>
    <row r="894" spans="9:13" ht="15.75" customHeight="1" x14ac:dyDescent="0.3">
      <c r="I894" s="843"/>
      <c r="J894" s="844"/>
      <c r="K894" s="118"/>
      <c r="M894" s="118"/>
    </row>
    <row r="895" spans="9:13" ht="15.75" customHeight="1" x14ac:dyDescent="0.3">
      <c r="I895" s="843"/>
      <c r="J895" s="844"/>
      <c r="K895" s="118"/>
      <c r="M895" s="118"/>
    </row>
    <row r="896" spans="9:13" ht="15.75" customHeight="1" x14ac:dyDescent="0.3">
      <c r="I896" s="843"/>
      <c r="J896" s="844"/>
      <c r="K896" s="118"/>
      <c r="M896" s="118"/>
    </row>
    <row r="897" spans="9:13" ht="15.75" customHeight="1" x14ac:dyDescent="0.3">
      <c r="I897" s="843"/>
      <c r="J897" s="844"/>
      <c r="K897" s="118"/>
      <c r="M897" s="118"/>
    </row>
    <row r="898" spans="9:13" ht="15.75" customHeight="1" x14ac:dyDescent="0.3">
      <c r="I898" s="843"/>
      <c r="J898" s="844"/>
      <c r="K898" s="118"/>
      <c r="M898" s="118"/>
    </row>
    <row r="899" spans="9:13" ht="15.75" customHeight="1" x14ac:dyDescent="0.3">
      <c r="I899" s="843"/>
      <c r="J899" s="844"/>
      <c r="K899" s="118"/>
      <c r="M899" s="118"/>
    </row>
    <row r="900" spans="9:13" ht="15.75" customHeight="1" x14ac:dyDescent="0.3">
      <c r="I900" s="843"/>
      <c r="J900" s="844"/>
      <c r="K900" s="118"/>
      <c r="M900" s="118"/>
    </row>
    <row r="901" spans="9:13" ht="15.75" customHeight="1" x14ac:dyDescent="0.3">
      <c r="I901" s="843"/>
      <c r="J901" s="844"/>
      <c r="K901" s="118"/>
      <c r="M901" s="118"/>
    </row>
    <row r="902" spans="9:13" ht="15.75" customHeight="1" x14ac:dyDescent="0.3">
      <c r="I902" s="843"/>
      <c r="J902" s="844"/>
      <c r="K902" s="118"/>
      <c r="M902" s="118"/>
    </row>
    <row r="903" spans="9:13" ht="15.75" customHeight="1" x14ac:dyDescent="0.3">
      <c r="I903" s="843"/>
      <c r="J903" s="844"/>
      <c r="K903" s="118"/>
      <c r="M903" s="118"/>
    </row>
    <row r="904" spans="9:13" ht="15.75" customHeight="1" x14ac:dyDescent="0.3">
      <c r="I904" s="843"/>
      <c r="J904" s="844"/>
      <c r="K904" s="118"/>
      <c r="M904" s="118"/>
    </row>
    <row r="905" spans="9:13" ht="15.75" customHeight="1" x14ac:dyDescent="0.3">
      <c r="I905" s="843"/>
      <c r="J905" s="844"/>
      <c r="K905" s="118"/>
      <c r="M905" s="118"/>
    </row>
    <row r="906" spans="9:13" ht="15.75" customHeight="1" x14ac:dyDescent="0.3">
      <c r="I906" s="843"/>
      <c r="J906" s="844"/>
      <c r="K906" s="118"/>
      <c r="M906" s="118"/>
    </row>
    <row r="907" spans="9:13" ht="15.75" customHeight="1" x14ac:dyDescent="0.3">
      <c r="I907" s="843"/>
      <c r="J907" s="844"/>
      <c r="K907" s="118"/>
      <c r="M907" s="118"/>
    </row>
    <row r="908" spans="9:13" ht="15.75" customHeight="1" x14ac:dyDescent="0.3">
      <c r="I908" s="843"/>
      <c r="J908" s="844"/>
      <c r="K908" s="118"/>
      <c r="M908" s="118"/>
    </row>
    <row r="909" spans="9:13" ht="15.75" customHeight="1" x14ac:dyDescent="0.3">
      <c r="I909" s="843"/>
      <c r="J909" s="844"/>
      <c r="K909" s="118"/>
      <c r="M909" s="118"/>
    </row>
    <row r="910" spans="9:13" ht="15.75" customHeight="1" x14ac:dyDescent="0.3">
      <c r="I910" s="843"/>
      <c r="J910" s="844"/>
      <c r="K910" s="118"/>
      <c r="M910" s="118"/>
    </row>
    <row r="911" spans="9:13" ht="15.75" customHeight="1" x14ac:dyDescent="0.3">
      <c r="I911" s="843"/>
      <c r="J911" s="844"/>
      <c r="K911" s="118"/>
      <c r="M911" s="118"/>
    </row>
    <row r="912" spans="9:13" ht="15.75" customHeight="1" x14ac:dyDescent="0.3">
      <c r="I912" s="843"/>
      <c r="J912" s="844"/>
      <c r="K912" s="118"/>
      <c r="M912" s="118"/>
    </row>
    <row r="913" spans="9:13" ht="15.75" customHeight="1" x14ac:dyDescent="0.3">
      <c r="I913" s="843"/>
      <c r="J913" s="844"/>
      <c r="K913" s="118"/>
      <c r="M913" s="118"/>
    </row>
    <row r="914" spans="9:13" ht="15.75" customHeight="1" x14ac:dyDescent="0.3">
      <c r="I914" s="843"/>
      <c r="J914" s="844"/>
      <c r="K914" s="118"/>
      <c r="M914" s="118"/>
    </row>
    <row r="915" spans="9:13" ht="15.75" customHeight="1" x14ac:dyDescent="0.3">
      <c r="I915" s="843"/>
      <c r="J915" s="844"/>
      <c r="K915" s="118"/>
      <c r="M915" s="118"/>
    </row>
    <row r="916" spans="9:13" ht="15.75" customHeight="1" x14ac:dyDescent="0.3">
      <c r="I916" s="843"/>
      <c r="J916" s="844"/>
      <c r="K916" s="118"/>
      <c r="M916" s="118"/>
    </row>
    <row r="917" spans="9:13" ht="15.75" customHeight="1" x14ac:dyDescent="0.3">
      <c r="I917" s="843"/>
      <c r="J917" s="844"/>
      <c r="K917" s="118"/>
      <c r="M917" s="118"/>
    </row>
    <row r="918" spans="9:13" ht="15.75" customHeight="1" x14ac:dyDescent="0.3">
      <c r="I918" s="843"/>
      <c r="J918" s="844"/>
      <c r="K918" s="118"/>
      <c r="M918" s="118"/>
    </row>
    <row r="919" spans="9:13" ht="15.75" customHeight="1" x14ac:dyDescent="0.3">
      <c r="I919" s="843"/>
      <c r="J919" s="844"/>
      <c r="K919" s="118"/>
      <c r="M919" s="118"/>
    </row>
    <row r="920" spans="9:13" ht="15.75" customHeight="1" x14ac:dyDescent="0.3">
      <c r="I920" s="843"/>
      <c r="J920" s="844"/>
      <c r="K920" s="118"/>
      <c r="M920" s="118"/>
    </row>
    <row r="921" spans="9:13" ht="15.75" customHeight="1" x14ac:dyDescent="0.3">
      <c r="I921" s="843"/>
      <c r="J921" s="844"/>
      <c r="K921" s="118"/>
      <c r="M921" s="118"/>
    </row>
    <row r="922" spans="9:13" ht="15.75" customHeight="1" x14ac:dyDescent="0.3">
      <c r="I922" s="843"/>
      <c r="J922" s="844"/>
      <c r="K922" s="118"/>
      <c r="M922" s="118"/>
    </row>
    <row r="923" spans="9:13" ht="15.75" customHeight="1" x14ac:dyDescent="0.3">
      <c r="I923" s="843"/>
      <c r="J923" s="844"/>
      <c r="K923" s="118"/>
      <c r="M923" s="118"/>
    </row>
    <row r="924" spans="9:13" ht="15.75" customHeight="1" x14ac:dyDescent="0.3">
      <c r="I924" s="843"/>
      <c r="J924" s="844"/>
      <c r="K924" s="118"/>
      <c r="M924" s="118"/>
    </row>
    <row r="925" spans="9:13" ht="15.75" customHeight="1" x14ac:dyDescent="0.3">
      <c r="I925" s="843"/>
      <c r="J925" s="844"/>
      <c r="K925" s="118"/>
      <c r="M925" s="118"/>
    </row>
    <row r="926" spans="9:13" ht="15.75" customHeight="1" x14ac:dyDescent="0.3">
      <c r="I926" s="843"/>
      <c r="J926" s="844"/>
      <c r="K926" s="118"/>
      <c r="M926" s="118"/>
    </row>
    <row r="927" spans="9:13" ht="15.75" customHeight="1" x14ac:dyDescent="0.3">
      <c r="I927" s="843"/>
      <c r="J927" s="844"/>
      <c r="K927" s="118"/>
      <c r="M927" s="118"/>
    </row>
    <row r="928" spans="9:13" ht="15.75" customHeight="1" x14ac:dyDescent="0.3">
      <c r="I928" s="843"/>
      <c r="J928" s="844"/>
      <c r="K928" s="118"/>
      <c r="M928" s="118"/>
    </row>
    <row r="929" spans="9:13" ht="15.75" customHeight="1" x14ac:dyDescent="0.3">
      <c r="I929" s="843"/>
      <c r="J929" s="844"/>
      <c r="K929" s="118"/>
      <c r="M929" s="118"/>
    </row>
    <row r="930" spans="9:13" ht="15.75" customHeight="1" x14ac:dyDescent="0.3">
      <c r="I930" s="843"/>
      <c r="J930" s="844"/>
      <c r="K930" s="118"/>
      <c r="M930" s="118"/>
    </row>
    <row r="931" spans="9:13" ht="15.75" customHeight="1" x14ac:dyDescent="0.3">
      <c r="I931" s="843"/>
      <c r="J931" s="844"/>
      <c r="K931" s="118"/>
      <c r="M931" s="118"/>
    </row>
    <row r="932" spans="9:13" ht="15.75" customHeight="1" x14ac:dyDescent="0.3">
      <c r="I932" s="843"/>
      <c r="J932" s="844"/>
      <c r="K932" s="118"/>
      <c r="M932" s="118"/>
    </row>
    <row r="933" spans="9:13" ht="15.75" customHeight="1" x14ac:dyDescent="0.3">
      <c r="I933" s="843"/>
      <c r="J933" s="844"/>
      <c r="K933" s="118"/>
      <c r="M933" s="118"/>
    </row>
    <row r="934" spans="9:13" ht="15.75" customHeight="1" x14ac:dyDescent="0.3">
      <c r="I934" s="843"/>
      <c r="J934" s="844"/>
      <c r="K934" s="118"/>
      <c r="M934" s="118"/>
    </row>
    <row r="935" spans="9:13" ht="15.75" customHeight="1" x14ac:dyDescent="0.3">
      <c r="I935" s="843"/>
      <c r="J935" s="844"/>
      <c r="K935" s="118"/>
      <c r="M935" s="118"/>
    </row>
    <row r="936" spans="9:13" ht="15.75" customHeight="1" x14ac:dyDescent="0.3">
      <c r="I936" s="843"/>
      <c r="J936" s="844"/>
      <c r="K936" s="118"/>
      <c r="M936" s="118"/>
    </row>
    <row r="937" spans="9:13" ht="15.75" customHeight="1" x14ac:dyDescent="0.3">
      <c r="I937" s="843"/>
      <c r="J937" s="844"/>
      <c r="K937" s="118"/>
      <c r="M937" s="118"/>
    </row>
    <row r="938" spans="9:13" ht="15.75" customHeight="1" x14ac:dyDescent="0.3">
      <c r="I938" s="843"/>
      <c r="J938" s="844"/>
      <c r="K938" s="118"/>
      <c r="M938" s="118"/>
    </row>
    <row r="939" spans="9:13" ht="15.75" customHeight="1" x14ac:dyDescent="0.3">
      <c r="I939" s="843"/>
      <c r="J939" s="844"/>
      <c r="K939" s="118"/>
      <c r="M939" s="118"/>
    </row>
    <row r="940" spans="9:13" ht="15.75" customHeight="1" x14ac:dyDescent="0.3">
      <c r="I940" s="843"/>
      <c r="J940" s="844"/>
      <c r="K940" s="118"/>
      <c r="M940" s="118"/>
    </row>
    <row r="941" spans="9:13" ht="15.75" customHeight="1" x14ac:dyDescent="0.3">
      <c r="I941" s="843"/>
      <c r="J941" s="844"/>
      <c r="K941" s="118"/>
      <c r="M941" s="118"/>
    </row>
    <row r="942" spans="9:13" ht="15.75" customHeight="1" x14ac:dyDescent="0.3">
      <c r="I942" s="843"/>
      <c r="J942" s="844"/>
      <c r="K942" s="118"/>
      <c r="M942" s="118"/>
    </row>
    <row r="943" spans="9:13" ht="15.75" customHeight="1" x14ac:dyDescent="0.3">
      <c r="I943" s="843"/>
      <c r="J943" s="844"/>
      <c r="K943" s="118"/>
      <c r="M943" s="118"/>
    </row>
    <row r="944" spans="9:13" ht="15.75" customHeight="1" x14ac:dyDescent="0.3">
      <c r="I944" s="843"/>
      <c r="J944" s="844"/>
      <c r="K944" s="118"/>
      <c r="M944" s="118"/>
    </row>
    <row r="945" spans="9:13" ht="15.75" customHeight="1" x14ac:dyDescent="0.3">
      <c r="I945" s="843"/>
      <c r="J945" s="844"/>
      <c r="K945" s="118"/>
      <c r="M945" s="118"/>
    </row>
    <row r="946" spans="9:13" ht="15.75" customHeight="1" x14ac:dyDescent="0.3">
      <c r="I946" s="843"/>
      <c r="J946" s="844"/>
      <c r="K946" s="118"/>
      <c r="M946" s="118"/>
    </row>
    <row r="947" spans="9:13" ht="15.75" customHeight="1" x14ac:dyDescent="0.3">
      <c r="I947" s="843"/>
      <c r="J947" s="844"/>
      <c r="K947" s="118"/>
      <c r="M947" s="118"/>
    </row>
    <row r="948" spans="9:13" ht="15.75" customHeight="1" x14ac:dyDescent="0.3">
      <c r="I948" s="843"/>
      <c r="J948" s="844"/>
      <c r="K948" s="118"/>
      <c r="M948" s="118"/>
    </row>
    <row r="949" spans="9:13" ht="15.75" customHeight="1" x14ac:dyDescent="0.3">
      <c r="I949" s="843"/>
      <c r="J949" s="844"/>
      <c r="K949" s="118"/>
      <c r="M949" s="118"/>
    </row>
    <row r="950" spans="9:13" ht="15.75" customHeight="1" x14ac:dyDescent="0.3">
      <c r="I950" s="843"/>
      <c r="J950" s="844"/>
      <c r="K950" s="118"/>
      <c r="M950" s="118"/>
    </row>
    <row r="951" spans="9:13" ht="15.75" customHeight="1" x14ac:dyDescent="0.3">
      <c r="I951" s="843"/>
      <c r="J951" s="844"/>
      <c r="K951" s="118"/>
      <c r="M951" s="118"/>
    </row>
    <row r="952" spans="9:13" ht="15.75" customHeight="1" x14ac:dyDescent="0.3">
      <c r="I952" s="843"/>
      <c r="J952" s="844"/>
      <c r="K952" s="118"/>
      <c r="M952" s="118"/>
    </row>
    <row r="953" spans="9:13" ht="15.75" customHeight="1" x14ac:dyDescent="0.3">
      <c r="I953" s="843"/>
      <c r="J953" s="844"/>
      <c r="K953" s="118"/>
      <c r="M953" s="118"/>
    </row>
    <row r="954" spans="9:13" ht="15.75" customHeight="1" x14ac:dyDescent="0.3">
      <c r="I954" s="843"/>
      <c r="J954" s="844"/>
      <c r="K954" s="118"/>
      <c r="M954" s="118"/>
    </row>
    <row r="955" spans="9:13" ht="15.75" customHeight="1" x14ac:dyDescent="0.3">
      <c r="I955" s="843"/>
      <c r="J955" s="844"/>
      <c r="K955" s="118"/>
      <c r="M955" s="118"/>
    </row>
    <row r="956" spans="9:13" ht="15.75" customHeight="1" x14ac:dyDescent="0.3">
      <c r="I956" s="843"/>
      <c r="J956" s="844"/>
      <c r="K956" s="118"/>
      <c r="M956" s="118"/>
    </row>
    <row r="957" spans="9:13" ht="15.75" customHeight="1" x14ac:dyDescent="0.3">
      <c r="I957" s="843"/>
      <c r="J957" s="844"/>
      <c r="K957" s="118"/>
      <c r="M957" s="118"/>
    </row>
    <row r="958" spans="9:13" ht="15.75" customHeight="1" x14ac:dyDescent="0.3">
      <c r="I958" s="843"/>
      <c r="J958" s="844"/>
      <c r="K958" s="118"/>
      <c r="M958" s="118"/>
    </row>
    <row r="959" spans="9:13" ht="15.75" customHeight="1" x14ac:dyDescent="0.3">
      <c r="I959" s="843"/>
      <c r="J959" s="844"/>
      <c r="K959" s="118"/>
      <c r="M959" s="118"/>
    </row>
    <row r="960" spans="9:13" ht="15.75" customHeight="1" x14ac:dyDescent="0.3">
      <c r="I960" s="843"/>
      <c r="J960" s="844"/>
      <c r="K960" s="118"/>
      <c r="M960" s="118"/>
    </row>
    <row r="961" spans="9:13" ht="15.75" customHeight="1" x14ac:dyDescent="0.3">
      <c r="I961" s="843"/>
      <c r="J961" s="844"/>
      <c r="K961" s="118"/>
      <c r="M961" s="118"/>
    </row>
    <row r="962" spans="9:13" ht="15.75" customHeight="1" x14ac:dyDescent="0.3">
      <c r="I962" s="843"/>
      <c r="J962" s="844"/>
      <c r="K962" s="118"/>
      <c r="M962" s="118"/>
    </row>
    <row r="963" spans="9:13" ht="15.75" customHeight="1" x14ac:dyDescent="0.3">
      <c r="I963" s="843"/>
      <c r="J963" s="844"/>
      <c r="K963" s="118"/>
      <c r="M963" s="118"/>
    </row>
    <row r="964" spans="9:13" ht="15.75" customHeight="1" x14ac:dyDescent="0.3">
      <c r="I964" s="843"/>
      <c r="J964" s="844"/>
      <c r="K964" s="118"/>
      <c r="M964" s="118"/>
    </row>
    <row r="965" spans="9:13" ht="15.75" customHeight="1" x14ac:dyDescent="0.3">
      <c r="I965" s="843"/>
      <c r="J965" s="844"/>
      <c r="K965" s="118"/>
      <c r="M965" s="118"/>
    </row>
    <row r="966" spans="9:13" ht="15.75" customHeight="1" x14ac:dyDescent="0.3">
      <c r="I966" s="843"/>
      <c r="J966" s="844"/>
      <c r="K966" s="118"/>
      <c r="M966" s="118"/>
    </row>
    <row r="967" spans="9:13" ht="15.75" customHeight="1" x14ac:dyDescent="0.3">
      <c r="I967" s="843"/>
      <c r="J967" s="844"/>
      <c r="K967" s="118"/>
      <c r="M967" s="118"/>
    </row>
    <row r="968" spans="9:13" ht="15.75" customHeight="1" x14ac:dyDescent="0.3">
      <c r="I968" s="843"/>
      <c r="J968" s="844"/>
      <c r="K968" s="118"/>
      <c r="M968" s="118"/>
    </row>
    <row r="969" spans="9:13" ht="15.75" customHeight="1" x14ac:dyDescent="0.3">
      <c r="I969" s="843"/>
      <c r="J969" s="844"/>
      <c r="K969" s="118"/>
      <c r="M969" s="118"/>
    </row>
    <row r="970" spans="9:13" ht="15.75" customHeight="1" x14ac:dyDescent="0.3">
      <c r="I970" s="843"/>
      <c r="J970" s="844"/>
      <c r="K970" s="118"/>
      <c r="M970" s="118"/>
    </row>
    <row r="971" spans="9:13" ht="15.75" customHeight="1" x14ac:dyDescent="0.3">
      <c r="I971" s="843"/>
      <c r="J971" s="844"/>
      <c r="K971" s="118"/>
      <c r="M971" s="118"/>
    </row>
    <row r="972" spans="9:13" ht="15.75" customHeight="1" x14ac:dyDescent="0.3">
      <c r="I972" s="843"/>
      <c r="J972" s="844"/>
      <c r="K972" s="118"/>
      <c r="M972" s="118"/>
    </row>
    <row r="973" spans="9:13" ht="15.75" customHeight="1" x14ac:dyDescent="0.3">
      <c r="I973" s="843"/>
      <c r="J973" s="844"/>
      <c r="K973" s="118"/>
      <c r="M973" s="118"/>
    </row>
    <row r="974" spans="9:13" ht="15.75" customHeight="1" x14ac:dyDescent="0.3">
      <c r="I974" s="843"/>
      <c r="J974" s="844"/>
      <c r="K974" s="118"/>
      <c r="M974" s="118"/>
    </row>
    <row r="975" spans="9:13" ht="15.75" customHeight="1" x14ac:dyDescent="0.3">
      <c r="I975" s="843"/>
      <c r="J975" s="844"/>
      <c r="K975" s="118"/>
      <c r="M975" s="118"/>
    </row>
    <row r="976" spans="9:13" ht="15.75" customHeight="1" x14ac:dyDescent="0.3">
      <c r="I976" s="843"/>
      <c r="J976" s="844"/>
      <c r="K976" s="118"/>
      <c r="M976" s="118"/>
    </row>
    <row r="977" spans="9:13" ht="15.75" customHeight="1" x14ac:dyDescent="0.3">
      <c r="I977" s="843"/>
      <c r="J977" s="844"/>
      <c r="K977" s="118"/>
      <c r="M977" s="118"/>
    </row>
    <row r="978" spans="9:13" ht="15.75" customHeight="1" x14ac:dyDescent="0.3">
      <c r="I978" s="843"/>
      <c r="J978" s="844"/>
      <c r="K978" s="118"/>
      <c r="M978" s="118"/>
    </row>
    <row r="979" spans="9:13" ht="15.75" customHeight="1" x14ac:dyDescent="0.3">
      <c r="I979" s="843"/>
      <c r="J979" s="844"/>
      <c r="K979" s="118"/>
      <c r="M979" s="118"/>
    </row>
    <row r="980" spans="9:13" ht="15.75" customHeight="1" x14ac:dyDescent="0.3">
      <c r="I980" s="843"/>
      <c r="J980" s="844"/>
      <c r="K980" s="118"/>
      <c r="M980" s="118"/>
    </row>
    <row r="981" spans="9:13" ht="15.75" customHeight="1" x14ac:dyDescent="0.3">
      <c r="I981" s="843"/>
      <c r="J981" s="844"/>
      <c r="K981" s="118"/>
      <c r="M981" s="118"/>
    </row>
    <row r="982" spans="9:13" ht="15.75" customHeight="1" x14ac:dyDescent="0.3">
      <c r="I982" s="843"/>
      <c r="J982" s="844"/>
      <c r="K982" s="118"/>
      <c r="M982" s="118"/>
    </row>
    <row r="983" spans="9:13" ht="15.75" customHeight="1" x14ac:dyDescent="0.3">
      <c r="I983" s="843"/>
      <c r="J983" s="844"/>
      <c r="K983" s="118"/>
      <c r="M983" s="118"/>
    </row>
    <row r="984" spans="9:13" ht="15.75" customHeight="1" x14ac:dyDescent="0.3">
      <c r="I984" s="843"/>
      <c r="J984" s="844"/>
      <c r="K984" s="118"/>
      <c r="M984" s="118"/>
    </row>
    <row r="985" spans="9:13" ht="15.75" customHeight="1" x14ac:dyDescent="0.3">
      <c r="I985" s="843"/>
      <c r="J985" s="844"/>
      <c r="K985" s="118"/>
      <c r="M985" s="118"/>
    </row>
    <row r="986" spans="9:13" ht="15.75" customHeight="1" x14ac:dyDescent="0.3">
      <c r="I986" s="843"/>
      <c r="J986" s="844"/>
      <c r="K986" s="118"/>
      <c r="M986" s="118"/>
    </row>
    <row r="987" spans="9:13" ht="15.75" customHeight="1" x14ac:dyDescent="0.3">
      <c r="I987" s="843"/>
      <c r="J987" s="844"/>
      <c r="K987" s="118"/>
      <c r="M987" s="118"/>
    </row>
    <row r="988" spans="9:13" ht="15.75" customHeight="1" x14ac:dyDescent="0.3">
      <c r="I988" s="843"/>
      <c r="J988" s="844"/>
      <c r="K988" s="118"/>
      <c r="M988" s="118"/>
    </row>
    <row r="989" spans="9:13" ht="15.75" customHeight="1" x14ac:dyDescent="0.3">
      <c r="I989" s="843"/>
      <c r="J989" s="844"/>
      <c r="K989" s="118"/>
      <c r="M989" s="118"/>
    </row>
    <row r="990" spans="9:13" ht="15.75" customHeight="1" x14ac:dyDescent="0.3">
      <c r="I990" s="843"/>
      <c r="J990" s="844"/>
      <c r="K990" s="118"/>
      <c r="M990" s="118"/>
    </row>
    <row r="991" spans="9:13" ht="15.75" customHeight="1" x14ac:dyDescent="0.3">
      <c r="I991" s="843"/>
      <c r="J991" s="844"/>
      <c r="K991" s="118"/>
      <c r="M991" s="118"/>
    </row>
    <row r="992" spans="9:13" ht="15.75" customHeight="1" x14ac:dyDescent="0.3">
      <c r="I992" s="843"/>
      <c r="J992" s="844"/>
      <c r="K992" s="118"/>
      <c r="M992" s="118"/>
    </row>
    <row r="993" spans="9:13" ht="15.75" customHeight="1" x14ac:dyDescent="0.3">
      <c r="I993" s="843"/>
      <c r="J993" s="844"/>
      <c r="K993" s="118"/>
      <c r="M993" s="118"/>
    </row>
    <row r="994" spans="9:13" ht="15.75" customHeight="1" x14ac:dyDescent="0.3">
      <c r="I994" s="843"/>
      <c r="J994" s="844"/>
      <c r="K994" s="118"/>
      <c r="M994" s="118"/>
    </row>
    <row r="995" spans="9:13" ht="15.75" customHeight="1" x14ac:dyDescent="0.3">
      <c r="I995" s="843"/>
      <c r="J995" s="844"/>
      <c r="K995" s="118"/>
      <c r="M995" s="118"/>
    </row>
    <row r="996" spans="9:13" ht="15.75" customHeight="1" x14ac:dyDescent="0.3">
      <c r="I996" s="843"/>
      <c r="J996" s="844"/>
      <c r="K996" s="118"/>
      <c r="M996" s="118"/>
    </row>
    <row r="997" spans="9:13" ht="15.75" customHeight="1" x14ac:dyDescent="0.3">
      <c r="I997" s="843"/>
      <c r="J997" s="844"/>
      <c r="K997" s="118"/>
      <c r="M997" s="118"/>
    </row>
    <row r="998" spans="9:13" ht="15.75" customHeight="1" x14ac:dyDescent="0.3">
      <c r="I998" s="843"/>
      <c r="J998" s="844"/>
      <c r="K998" s="118"/>
      <c r="M998" s="118"/>
    </row>
    <row r="999" spans="9:13" ht="15.75" customHeight="1" x14ac:dyDescent="0.3">
      <c r="I999" s="843"/>
      <c r="J999" s="844"/>
      <c r="K999" s="118"/>
      <c r="M999" s="118"/>
    </row>
    <row r="1000" spans="9:13" ht="15.75" customHeight="1" x14ac:dyDescent="0.3">
      <c r="I1000" s="843"/>
      <c r="J1000" s="844"/>
      <c r="K1000" s="118"/>
      <c r="M1000" s="118"/>
    </row>
  </sheetData>
  <pageMargins left="0.7" right="0.7" top="0.75" bottom="0.75" header="0" footer="0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/>
  </sheetViews>
  <sheetFormatPr baseColWidth="10" defaultColWidth="14.3984375" defaultRowHeight="15" customHeight="1" x14ac:dyDescent="0.3"/>
  <cols>
    <col min="1" max="1" width="77.296875" customWidth="1"/>
    <col min="2" max="17" width="9.296875" customWidth="1"/>
    <col min="18" max="26" width="10" customWidth="1"/>
  </cols>
  <sheetData>
    <row r="1" spans="1:26" ht="12.75" customHeight="1" x14ac:dyDescent="0.3">
      <c r="A1" s="841"/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</row>
    <row r="2" spans="1:26" ht="12.75" customHeight="1" x14ac:dyDescent="0.3">
      <c r="A2" s="841"/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</row>
    <row r="3" spans="1:26" ht="12.75" customHeight="1" x14ac:dyDescent="0.3">
      <c r="A3" s="937" t="s">
        <v>724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</row>
    <row r="4" spans="1:26" ht="25.5" customHeight="1" x14ac:dyDescent="0.3">
      <c r="A4" s="937" t="s">
        <v>725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</row>
    <row r="5" spans="1:26" ht="12.75" customHeight="1" x14ac:dyDescent="0.3">
      <c r="A5" s="937" t="s">
        <v>726</v>
      </c>
      <c r="B5" s="841"/>
      <c r="C5" s="841"/>
      <c r="D5" s="841"/>
      <c r="E5" s="841"/>
      <c r="F5" s="841" t="s">
        <v>727</v>
      </c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1"/>
    </row>
    <row r="6" spans="1:26" ht="12.75" customHeight="1" x14ac:dyDescent="0.3">
      <c r="A6" s="937" t="s">
        <v>728</v>
      </c>
      <c r="B6" s="841"/>
      <c r="C6" s="841"/>
      <c r="D6" s="841"/>
      <c r="E6" s="841"/>
      <c r="F6" s="841" t="s">
        <v>107</v>
      </c>
      <c r="G6" s="841" t="s">
        <v>729</v>
      </c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841"/>
      <c r="Y6" s="841"/>
      <c r="Z6" s="841"/>
    </row>
    <row r="7" spans="1:26" ht="12.75" customHeight="1" x14ac:dyDescent="0.3">
      <c r="A7" s="937" t="s">
        <v>730</v>
      </c>
      <c r="B7" s="841"/>
      <c r="C7" s="841"/>
      <c r="D7" s="841"/>
      <c r="E7" s="841"/>
      <c r="F7" s="841" t="s">
        <v>731</v>
      </c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41"/>
      <c r="W7" s="841"/>
      <c r="X7" s="841"/>
      <c r="Y7" s="841"/>
      <c r="Z7" s="841"/>
    </row>
    <row r="8" spans="1:26" ht="12.75" customHeight="1" x14ac:dyDescent="0.3">
      <c r="A8" s="937"/>
      <c r="B8" s="841"/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1"/>
      <c r="U8" s="841"/>
      <c r="V8" s="841"/>
      <c r="W8" s="841"/>
      <c r="X8" s="841"/>
      <c r="Y8" s="841"/>
      <c r="Z8" s="841"/>
    </row>
    <row r="9" spans="1:26" ht="12.75" customHeight="1" x14ac:dyDescent="0.3">
      <c r="A9" s="937" t="s">
        <v>732</v>
      </c>
      <c r="B9" s="841"/>
      <c r="C9" s="841"/>
      <c r="D9" s="841"/>
      <c r="E9" s="841"/>
      <c r="F9" s="841" t="s">
        <v>110</v>
      </c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1"/>
      <c r="U9" s="841"/>
      <c r="V9" s="841"/>
      <c r="W9" s="841"/>
      <c r="X9" s="841"/>
      <c r="Y9" s="841"/>
      <c r="Z9" s="841"/>
    </row>
    <row r="10" spans="1:26" ht="12.75" customHeight="1" x14ac:dyDescent="0.3">
      <c r="A10" s="937" t="s">
        <v>733</v>
      </c>
      <c r="B10" s="841"/>
      <c r="C10" s="841"/>
      <c r="D10" s="841"/>
      <c r="E10" s="841"/>
      <c r="F10" s="841" t="s">
        <v>734</v>
      </c>
      <c r="G10" s="841"/>
      <c r="H10" s="841"/>
      <c r="I10" s="841"/>
      <c r="J10" s="841"/>
      <c r="K10" s="841"/>
      <c r="L10" s="841"/>
      <c r="M10" s="841"/>
      <c r="N10" s="841"/>
      <c r="O10" s="841"/>
      <c r="P10" s="841"/>
      <c r="Q10" s="841"/>
      <c r="R10" s="841"/>
      <c r="S10" s="841"/>
      <c r="T10" s="841"/>
      <c r="U10" s="841"/>
      <c r="V10" s="841"/>
      <c r="W10" s="841"/>
      <c r="X10" s="841"/>
      <c r="Y10" s="841"/>
      <c r="Z10" s="841"/>
    </row>
    <row r="11" spans="1:26" ht="12.75" customHeight="1" x14ac:dyDescent="0.3">
      <c r="A11" s="937" t="s">
        <v>735</v>
      </c>
      <c r="B11" s="841"/>
      <c r="C11" s="841"/>
      <c r="D11" s="841"/>
      <c r="E11" s="841"/>
      <c r="F11" s="841" t="s">
        <v>736</v>
      </c>
      <c r="G11" s="841"/>
      <c r="H11" s="841"/>
      <c r="I11" s="841"/>
      <c r="J11" s="841"/>
      <c r="K11" s="841"/>
      <c r="L11" s="841"/>
      <c r="M11" s="841"/>
      <c r="N11" s="841"/>
      <c r="O11" s="841"/>
      <c r="P11" s="841"/>
      <c r="Q11" s="841"/>
      <c r="R11" s="841"/>
      <c r="S11" s="841"/>
      <c r="T11" s="841"/>
      <c r="U11" s="841"/>
      <c r="V11" s="841"/>
      <c r="W11" s="841"/>
      <c r="X11" s="841"/>
      <c r="Y11" s="841"/>
      <c r="Z11" s="841"/>
    </row>
    <row r="12" spans="1:26" ht="12.75" customHeight="1" x14ac:dyDescent="0.3">
      <c r="A12" s="937" t="s">
        <v>737</v>
      </c>
      <c r="B12" s="841"/>
      <c r="C12" s="841"/>
      <c r="D12" s="841"/>
      <c r="E12" s="841"/>
      <c r="F12" s="841"/>
      <c r="G12" s="841"/>
      <c r="H12" s="841"/>
      <c r="I12" s="841"/>
      <c r="J12" s="841"/>
      <c r="K12" s="841"/>
      <c r="L12" s="841"/>
      <c r="M12" s="841"/>
      <c r="N12" s="841"/>
      <c r="O12" s="841"/>
      <c r="P12" s="841"/>
      <c r="Q12" s="841"/>
      <c r="R12" s="841"/>
      <c r="S12" s="841"/>
      <c r="T12" s="841"/>
      <c r="U12" s="841"/>
      <c r="V12" s="841"/>
      <c r="W12" s="841"/>
      <c r="X12" s="841"/>
      <c r="Y12" s="841"/>
      <c r="Z12" s="841"/>
    </row>
    <row r="13" spans="1:26" ht="12.75" customHeight="1" x14ac:dyDescent="0.3">
      <c r="A13" s="937" t="s">
        <v>738</v>
      </c>
      <c r="B13" s="841"/>
      <c r="C13" s="841"/>
      <c r="D13" s="841"/>
      <c r="E13" s="841"/>
      <c r="F13" s="841" t="s">
        <v>739</v>
      </c>
      <c r="G13" s="841"/>
      <c r="H13" s="841"/>
      <c r="I13" s="841"/>
      <c r="J13" s="841"/>
      <c r="K13" s="841"/>
      <c r="L13" s="841"/>
      <c r="M13" s="841"/>
      <c r="N13" s="841"/>
      <c r="O13" s="841"/>
      <c r="P13" s="841"/>
      <c r="Q13" s="841"/>
      <c r="R13" s="841"/>
      <c r="S13" s="841"/>
      <c r="T13" s="841"/>
      <c r="U13" s="841"/>
      <c r="V13" s="841"/>
      <c r="W13" s="841"/>
      <c r="X13" s="841"/>
      <c r="Y13" s="841"/>
      <c r="Z13" s="841"/>
    </row>
    <row r="14" spans="1:26" ht="12.75" customHeight="1" x14ac:dyDescent="0.3">
      <c r="A14" s="937"/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</row>
    <row r="15" spans="1:26" ht="12.75" customHeight="1" x14ac:dyDescent="0.3">
      <c r="A15" s="937" t="s">
        <v>740</v>
      </c>
      <c r="B15" s="841"/>
      <c r="C15" s="841"/>
      <c r="D15" s="841"/>
      <c r="E15" s="841"/>
      <c r="F15" s="841"/>
      <c r="G15" s="841"/>
      <c r="H15" s="841"/>
      <c r="I15" s="841"/>
      <c r="J15" s="841"/>
      <c r="K15" s="841"/>
      <c r="L15" s="841"/>
      <c r="M15" s="841"/>
      <c r="N15" s="841"/>
      <c r="O15" s="841"/>
      <c r="P15" s="841"/>
      <c r="Q15" s="841"/>
      <c r="R15" s="841"/>
      <c r="S15" s="841"/>
      <c r="T15" s="841"/>
      <c r="U15" s="841"/>
      <c r="V15" s="841"/>
      <c r="W15" s="841"/>
      <c r="X15" s="841"/>
      <c r="Y15" s="841"/>
      <c r="Z15" s="841"/>
    </row>
    <row r="16" spans="1:26" ht="12.75" customHeight="1" x14ac:dyDescent="0.3">
      <c r="A16" s="937" t="s">
        <v>741</v>
      </c>
      <c r="B16" s="841"/>
      <c r="C16" s="841"/>
      <c r="D16" s="841"/>
      <c r="E16" s="841"/>
      <c r="F16" s="841"/>
      <c r="G16" s="841"/>
      <c r="H16" s="841"/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  <c r="T16" s="841"/>
      <c r="U16" s="841"/>
      <c r="V16" s="841"/>
      <c r="W16" s="841"/>
      <c r="X16" s="841"/>
      <c r="Y16" s="841"/>
      <c r="Z16" s="841"/>
    </row>
    <row r="17" spans="1:26" ht="12.75" customHeight="1" x14ac:dyDescent="0.3">
      <c r="A17" s="937" t="s">
        <v>742</v>
      </c>
      <c r="B17" s="841"/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</row>
    <row r="18" spans="1:26" ht="25.5" customHeight="1" x14ac:dyDescent="0.3">
      <c r="A18" s="939" t="s">
        <v>743</v>
      </c>
      <c r="B18" s="841"/>
      <c r="C18" s="841"/>
      <c r="D18" s="841"/>
      <c r="E18" s="841"/>
      <c r="F18" s="841"/>
      <c r="G18" s="841"/>
      <c r="H18" s="841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1"/>
      <c r="T18" s="841"/>
      <c r="U18" s="841"/>
      <c r="V18" s="841"/>
      <c r="W18" s="841"/>
      <c r="X18" s="841"/>
      <c r="Y18" s="841"/>
      <c r="Z18" s="841"/>
    </row>
    <row r="19" spans="1:26" ht="12.75" customHeight="1" x14ac:dyDescent="0.3">
      <c r="A19" s="937" t="s">
        <v>744</v>
      </c>
      <c r="B19" s="841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Y19" s="841"/>
      <c r="Z19" s="841"/>
    </row>
    <row r="20" spans="1:26" ht="12.75" customHeight="1" x14ac:dyDescent="0.3">
      <c r="A20" s="937"/>
      <c r="B20" s="841"/>
      <c r="C20" s="841"/>
      <c r="D20" s="841"/>
      <c r="E20" s="841"/>
      <c r="F20" s="841"/>
      <c r="G20" s="841"/>
      <c r="H20" s="841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1"/>
      <c r="T20" s="841"/>
      <c r="U20" s="841"/>
      <c r="V20" s="841"/>
      <c r="W20" s="841"/>
      <c r="X20" s="841"/>
      <c r="Y20" s="841"/>
      <c r="Z20" s="841"/>
    </row>
    <row r="21" spans="1:26" ht="25.5" customHeight="1" x14ac:dyDescent="0.3">
      <c r="A21" s="937" t="s">
        <v>745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1"/>
      <c r="X21" s="841"/>
      <c r="Y21" s="841"/>
      <c r="Z21" s="841"/>
    </row>
    <row r="22" spans="1:26" ht="12.75" customHeight="1" x14ac:dyDescent="0.3">
      <c r="A22" s="937"/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1"/>
      <c r="T22" s="841"/>
      <c r="U22" s="841"/>
      <c r="V22" s="841"/>
      <c r="W22" s="841"/>
      <c r="X22" s="841"/>
      <c r="Y22" s="841"/>
      <c r="Z22" s="841"/>
    </row>
    <row r="23" spans="1:26" ht="12.75" customHeight="1" x14ac:dyDescent="0.3">
      <c r="A23" s="937"/>
      <c r="B23" s="841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</row>
    <row r="24" spans="1:26" ht="12.75" customHeight="1" x14ac:dyDescent="0.3">
      <c r="A24" s="937" t="s">
        <v>746</v>
      </c>
      <c r="B24" s="841"/>
      <c r="C24" s="841"/>
      <c r="D24" s="841"/>
      <c r="E24" s="841"/>
      <c r="F24" s="841"/>
      <c r="G24" s="841"/>
      <c r="H24" s="841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1"/>
      <c r="T24" s="841"/>
      <c r="U24" s="841"/>
      <c r="V24" s="841"/>
      <c r="W24" s="841"/>
      <c r="X24" s="841"/>
      <c r="Y24" s="841"/>
      <c r="Z24" s="841"/>
    </row>
    <row r="25" spans="1:26" ht="12.75" customHeight="1" x14ac:dyDescent="0.3">
      <c r="A25" s="937"/>
      <c r="B25" s="841"/>
      <c r="C25" s="841"/>
      <c r="D25" s="841"/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  <c r="T25" s="841"/>
      <c r="U25" s="841"/>
      <c r="V25" s="841"/>
      <c r="W25" s="841"/>
      <c r="X25" s="841"/>
      <c r="Y25" s="841"/>
      <c r="Z25" s="841"/>
    </row>
    <row r="26" spans="1:26" ht="12.75" customHeight="1" x14ac:dyDescent="0.3">
      <c r="A26" s="937" t="s">
        <v>747</v>
      </c>
      <c r="B26" s="841"/>
      <c r="C26" s="841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1"/>
      <c r="W26" s="841"/>
      <c r="X26" s="841"/>
      <c r="Y26" s="841"/>
      <c r="Z26" s="841"/>
    </row>
    <row r="27" spans="1:26" ht="12.75" customHeight="1" x14ac:dyDescent="0.3">
      <c r="A27" s="937"/>
      <c r="B27" s="841"/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  <c r="T27" s="841"/>
      <c r="U27" s="841"/>
      <c r="V27" s="841"/>
      <c r="W27" s="841"/>
      <c r="X27" s="841"/>
      <c r="Y27" s="841"/>
      <c r="Z27" s="841"/>
    </row>
    <row r="28" spans="1:26" ht="12.75" customHeight="1" x14ac:dyDescent="0.3">
      <c r="A28" s="937" t="s">
        <v>748</v>
      </c>
      <c r="B28" s="841"/>
      <c r="C28" s="841"/>
      <c r="D28" s="841"/>
      <c r="E28" s="841"/>
      <c r="F28" s="841"/>
      <c r="G28" s="841"/>
      <c r="H28" s="841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  <c r="T28" s="841"/>
      <c r="U28" s="841"/>
      <c r="V28" s="841"/>
      <c r="W28" s="841"/>
      <c r="X28" s="841"/>
      <c r="Y28" s="841"/>
      <c r="Z28" s="841"/>
    </row>
    <row r="29" spans="1:26" ht="25.5" customHeight="1" x14ac:dyDescent="0.3">
      <c r="A29" s="937" t="s">
        <v>749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1"/>
      <c r="Y29" s="841"/>
      <c r="Z29" s="841"/>
    </row>
    <row r="30" spans="1:26" ht="12.75" customHeight="1" x14ac:dyDescent="0.3">
      <c r="A30" s="937"/>
      <c r="B30" s="841"/>
      <c r="C30" s="841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41"/>
      <c r="T30" s="841"/>
      <c r="U30" s="841"/>
      <c r="V30" s="841"/>
      <c r="W30" s="841"/>
      <c r="X30" s="841"/>
      <c r="Y30" s="841"/>
      <c r="Z30" s="841"/>
    </row>
    <row r="31" spans="1:26" ht="12.75" customHeight="1" x14ac:dyDescent="0.3">
      <c r="A31" s="937" t="s">
        <v>750</v>
      </c>
      <c r="B31" s="841"/>
      <c r="C31" s="841"/>
      <c r="D31" s="841"/>
      <c r="E31" s="841"/>
      <c r="F31" s="841"/>
      <c r="G31" s="841"/>
      <c r="H31" s="841"/>
      <c r="I31" s="841"/>
      <c r="J31" s="841"/>
      <c r="K31" s="841"/>
      <c r="L31" s="841"/>
      <c r="M31" s="841"/>
      <c r="N31" s="841"/>
      <c r="O31" s="841"/>
      <c r="P31" s="841"/>
      <c r="Q31" s="841"/>
      <c r="R31" s="841"/>
      <c r="S31" s="841"/>
      <c r="T31" s="841"/>
      <c r="U31" s="841"/>
      <c r="V31" s="841"/>
      <c r="W31" s="841"/>
      <c r="X31" s="841"/>
      <c r="Y31" s="841"/>
      <c r="Z31" s="841"/>
    </row>
    <row r="32" spans="1:26" ht="12.75" customHeight="1" x14ac:dyDescent="0.3">
      <c r="A32" s="937"/>
      <c r="B32" s="841"/>
      <c r="C32" s="841"/>
      <c r="D32" s="841"/>
      <c r="E32" s="841"/>
      <c r="F32" s="841"/>
      <c r="G32" s="841"/>
      <c r="H32" s="841"/>
      <c r="I32" s="841"/>
      <c r="J32" s="841"/>
      <c r="K32" s="841"/>
      <c r="L32" s="841"/>
      <c r="M32" s="841"/>
      <c r="N32" s="841"/>
      <c r="O32" s="841"/>
      <c r="P32" s="841"/>
      <c r="Q32" s="841"/>
      <c r="R32" s="841"/>
      <c r="S32" s="841"/>
      <c r="T32" s="841"/>
      <c r="U32" s="841"/>
      <c r="V32" s="841"/>
      <c r="W32" s="841"/>
      <c r="X32" s="841"/>
      <c r="Y32" s="841"/>
      <c r="Z32" s="841"/>
    </row>
    <row r="33" spans="1:26" ht="12.75" customHeight="1" x14ac:dyDescent="0.3">
      <c r="A33" s="939" t="s">
        <v>751</v>
      </c>
      <c r="B33" s="841"/>
      <c r="C33" s="841"/>
      <c r="D33" s="841"/>
      <c r="E33" s="841"/>
      <c r="F33" s="841"/>
      <c r="G33" s="841"/>
      <c r="H33" s="841"/>
      <c r="I33" s="841"/>
      <c r="J33" s="841"/>
      <c r="K33" s="841"/>
      <c r="L33" s="841"/>
      <c r="M33" s="841"/>
      <c r="N33" s="841"/>
      <c r="O33" s="841"/>
      <c r="P33" s="841"/>
      <c r="Q33" s="841"/>
      <c r="R33" s="841"/>
      <c r="S33" s="841"/>
      <c r="T33" s="841"/>
      <c r="U33" s="841"/>
      <c r="V33" s="841"/>
      <c r="W33" s="841"/>
      <c r="X33" s="841"/>
      <c r="Y33" s="841"/>
      <c r="Z33" s="841"/>
    </row>
    <row r="34" spans="1:26" ht="12.75" customHeight="1" x14ac:dyDescent="0.3">
      <c r="A34" s="937"/>
      <c r="B34" s="841"/>
      <c r="C34" s="841"/>
      <c r="D34" s="841"/>
      <c r="E34" s="841"/>
      <c r="F34" s="841"/>
      <c r="G34" s="841"/>
      <c r="H34" s="841"/>
      <c r="I34" s="841"/>
      <c r="J34" s="841"/>
      <c r="K34" s="841"/>
      <c r="L34" s="841"/>
      <c r="M34" s="841"/>
      <c r="N34" s="841"/>
      <c r="O34" s="841"/>
      <c r="P34" s="841"/>
      <c r="Q34" s="841"/>
      <c r="R34" s="841"/>
      <c r="S34" s="841"/>
      <c r="T34" s="841"/>
      <c r="U34" s="841"/>
      <c r="V34" s="841"/>
      <c r="W34" s="841"/>
      <c r="X34" s="841"/>
      <c r="Y34" s="841"/>
      <c r="Z34" s="841"/>
    </row>
    <row r="35" spans="1:26" ht="12.75" customHeight="1" x14ac:dyDescent="0.3">
      <c r="A35" s="841"/>
      <c r="B35" s="841"/>
      <c r="C35" s="841"/>
      <c r="D35" s="841"/>
      <c r="E35" s="841"/>
      <c r="F35" s="841"/>
      <c r="G35" s="841"/>
      <c r="H35" s="841"/>
      <c r="I35" s="841"/>
      <c r="J35" s="841"/>
      <c r="K35" s="841"/>
      <c r="L35" s="841"/>
      <c r="M35" s="841"/>
      <c r="N35" s="841"/>
      <c r="O35" s="841"/>
      <c r="P35" s="841"/>
      <c r="Q35" s="841"/>
      <c r="R35" s="841"/>
      <c r="S35" s="841"/>
      <c r="T35" s="841"/>
      <c r="U35" s="841"/>
      <c r="V35" s="841"/>
      <c r="W35" s="841"/>
      <c r="X35" s="841"/>
      <c r="Y35" s="841"/>
      <c r="Z35" s="841"/>
    </row>
    <row r="36" spans="1:26" ht="12.75" customHeight="1" x14ac:dyDescent="0.3">
      <c r="A36" s="841"/>
      <c r="B36" s="841"/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41"/>
      <c r="N36" s="841"/>
      <c r="O36" s="841"/>
      <c r="P36" s="841"/>
      <c r="Q36" s="841"/>
      <c r="R36" s="841"/>
      <c r="S36" s="841"/>
      <c r="T36" s="841"/>
      <c r="U36" s="841"/>
      <c r="V36" s="841"/>
      <c r="W36" s="841"/>
      <c r="X36" s="841"/>
      <c r="Y36" s="841"/>
      <c r="Z36" s="841"/>
    </row>
    <row r="37" spans="1:26" ht="12.75" customHeight="1" x14ac:dyDescent="0.3">
      <c r="A37" s="841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1"/>
      <c r="P37" s="841"/>
      <c r="Q37" s="841"/>
      <c r="R37" s="841"/>
      <c r="S37" s="841"/>
      <c r="T37" s="841"/>
      <c r="U37" s="841"/>
      <c r="V37" s="841"/>
      <c r="W37" s="841"/>
      <c r="X37" s="841"/>
      <c r="Y37" s="841"/>
      <c r="Z37" s="841"/>
    </row>
    <row r="38" spans="1:26" ht="12.75" customHeight="1" x14ac:dyDescent="0.3">
      <c r="A38" s="841"/>
      <c r="B38" s="841"/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41"/>
      <c r="N38" s="841"/>
      <c r="O38" s="841"/>
      <c r="P38" s="841"/>
      <c r="Q38" s="841"/>
      <c r="R38" s="841"/>
      <c r="S38" s="841"/>
      <c r="T38" s="841"/>
      <c r="U38" s="841"/>
      <c r="V38" s="841"/>
      <c r="W38" s="841"/>
      <c r="X38" s="841"/>
      <c r="Y38" s="841"/>
      <c r="Z38" s="841"/>
    </row>
    <row r="39" spans="1:26" ht="12.75" customHeight="1" x14ac:dyDescent="0.3">
      <c r="A39" s="841"/>
      <c r="B39" s="841"/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</row>
    <row r="40" spans="1:26" ht="12.75" customHeight="1" x14ac:dyDescent="0.3">
      <c r="A40" s="841"/>
      <c r="B40" s="841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</row>
    <row r="41" spans="1:26" ht="12.75" customHeight="1" x14ac:dyDescent="0.3">
      <c r="A41" s="841"/>
      <c r="B41" s="841"/>
      <c r="C41" s="841"/>
      <c r="D41" s="841"/>
      <c r="E41" s="841"/>
      <c r="F41" s="841"/>
      <c r="G41" s="841"/>
      <c r="H41" s="841"/>
      <c r="I41" s="841"/>
      <c r="J41" s="841"/>
      <c r="K41" s="841"/>
      <c r="L41" s="841"/>
      <c r="M41" s="841"/>
      <c r="N41" s="841"/>
      <c r="O41" s="841"/>
      <c r="P41" s="841"/>
      <c r="Q41" s="841"/>
      <c r="R41" s="841"/>
      <c r="S41" s="841"/>
      <c r="T41" s="841"/>
      <c r="U41" s="841"/>
      <c r="V41" s="841"/>
      <c r="W41" s="841"/>
      <c r="X41" s="841"/>
      <c r="Y41" s="841"/>
      <c r="Z41" s="841"/>
    </row>
    <row r="42" spans="1:26" ht="12.75" customHeight="1" x14ac:dyDescent="0.3">
      <c r="A42" s="841"/>
      <c r="B42" s="841"/>
      <c r="C42" s="841"/>
      <c r="D42" s="841"/>
      <c r="E42" s="841"/>
      <c r="F42" s="841"/>
      <c r="G42" s="841"/>
      <c r="H42" s="841"/>
      <c r="I42" s="841"/>
      <c r="J42" s="841"/>
      <c r="K42" s="841"/>
      <c r="L42" s="841"/>
      <c r="M42" s="841"/>
      <c r="N42" s="841"/>
      <c r="O42" s="841"/>
      <c r="P42" s="841"/>
      <c r="Q42" s="841"/>
      <c r="R42" s="841"/>
      <c r="S42" s="841"/>
      <c r="T42" s="841"/>
      <c r="U42" s="841"/>
      <c r="V42" s="841"/>
      <c r="W42" s="841"/>
      <c r="X42" s="841"/>
      <c r="Y42" s="841"/>
      <c r="Z42" s="841"/>
    </row>
    <row r="43" spans="1:26" ht="12.75" customHeight="1" x14ac:dyDescent="0.3">
      <c r="A43" s="841"/>
      <c r="B43" s="841"/>
      <c r="C43" s="841"/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  <c r="T43" s="841"/>
      <c r="U43" s="841"/>
      <c r="V43" s="841"/>
      <c r="W43" s="841"/>
      <c r="X43" s="841"/>
      <c r="Y43" s="841"/>
      <c r="Z43" s="841"/>
    </row>
    <row r="44" spans="1:26" ht="12.75" customHeight="1" x14ac:dyDescent="0.3">
      <c r="A44" s="841"/>
      <c r="B44" s="841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841"/>
    </row>
    <row r="45" spans="1:26" ht="12.75" customHeight="1" x14ac:dyDescent="0.3">
      <c r="A45" s="841"/>
      <c r="B45" s="841"/>
      <c r="C45" s="841"/>
      <c r="D45" s="841"/>
      <c r="E45" s="841"/>
      <c r="F45" s="841"/>
      <c r="G45" s="841"/>
      <c r="H45" s="841"/>
      <c r="I45" s="841"/>
      <c r="J45" s="841"/>
      <c r="K45" s="841"/>
      <c r="L45" s="841"/>
      <c r="M45" s="841"/>
      <c r="N45" s="841"/>
      <c r="O45" s="841"/>
      <c r="P45" s="841"/>
      <c r="Q45" s="841"/>
      <c r="R45" s="841"/>
      <c r="S45" s="841"/>
      <c r="T45" s="841"/>
      <c r="U45" s="841"/>
      <c r="V45" s="841"/>
      <c r="W45" s="841"/>
      <c r="X45" s="841"/>
      <c r="Y45" s="841"/>
      <c r="Z45" s="841"/>
    </row>
    <row r="46" spans="1:26" ht="12.75" customHeight="1" x14ac:dyDescent="0.3">
      <c r="A46" s="841"/>
      <c r="B46" s="841"/>
      <c r="C46" s="841"/>
      <c r="D46" s="841"/>
      <c r="E46" s="841"/>
      <c r="F46" s="841"/>
      <c r="G46" s="841"/>
      <c r="H46" s="841"/>
      <c r="I46" s="841"/>
      <c r="J46" s="841"/>
      <c r="K46" s="841"/>
      <c r="L46" s="841"/>
      <c r="M46" s="841"/>
      <c r="N46" s="841"/>
      <c r="O46" s="841"/>
      <c r="P46" s="841"/>
      <c r="Q46" s="841"/>
      <c r="R46" s="841"/>
      <c r="S46" s="841"/>
      <c r="T46" s="841"/>
      <c r="U46" s="841"/>
      <c r="V46" s="841"/>
      <c r="W46" s="841"/>
      <c r="X46" s="841"/>
      <c r="Y46" s="841"/>
      <c r="Z46" s="841"/>
    </row>
    <row r="47" spans="1:26" ht="12.75" customHeight="1" x14ac:dyDescent="0.3">
      <c r="A47" s="841"/>
      <c r="B47" s="841"/>
      <c r="C47" s="841"/>
      <c r="D47" s="841"/>
      <c r="E47" s="841"/>
      <c r="F47" s="841"/>
      <c r="G47" s="841"/>
      <c r="H47" s="841"/>
      <c r="I47" s="841"/>
      <c r="J47" s="841"/>
      <c r="K47" s="841"/>
      <c r="L47" s="841"/>
      <c r="M47" s="841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</row>
    <row r="48" spans="1:26" ht="12.75" customHeight="1" x14ac:dyDescent="0.3">
      <c r="A48" s="841"/>
      <c r="B48" s="841"/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</row>
    <row r="49" spans="1:26" ht="12.75" customHeight="1" x14ac:dyDescent="0.3">
      <c r="A49" s="841"/>
      <c r="B49" s="841"/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1"/>
      <c r="Q49" s="841"/>
      <c r="R49" s="841"/>
      <c r="S49" s="841"/>
      <c r="T49" s="841"/>
      <c r="U49" s="841"/>
      <c r="V49" s="841"/>
      <c r="W49" s="841"/>
      <c r="X49" s="841"/>
      <c r="Y49" s="841"/>
      <c r="Z49" s="841"/>
    </row>
    <row r="50" spans="1:26" ht="12.75" customHeight="1" x14ac:dyDescent="0.3">
      <c r="A50" s="841"/>
      <c r="B50" s="841"/>
      <c r="C50" s="841"/>
      <c r="D50" s="841"/>
      <c r="E50" s="841"/>
      <c r="F50" s="841"/>
      <c r="G50" s="841"/>
      <c r="H50" s="841"/>
      <c r="I50" s="841"/>
      <c r="J50" s="841"/>
      <c r="K50" s="841"/>
      <c r="L50" s="841"/>
      <c r="M50" s="841"/>
      <c r="N50" s="841"/>
      <c r="O50" s="841"/>
      <c r="P50" s="841"/>
      <c r="Q50" s="841"/>
      <c r="R50" s="841"/>
      <c r="S50" s="841"/>
      <c r="T50" s="841"/>
      <c r="U50" s="841"/>
      <c r="V50" s="841"/>
      <c r="W50" s="841"/>
      <c r="X50" s="841"/>
      <c r="Y50" s="841"/>
      <c r="Z50" s="841"/>
    </row>
    <row r="51" spans="1:26" ht="12.75" customHeight="1" x14ac:dyDescent="0.3">
      <c r="A51" s="841"/>
      <c r="B51" s="841"/>
      <c r="C51" s="841"/>
      <c r="D51" s="841"/>
      <c r="E51" s="841"/>
      <c r="F51" s="841"/>
      <c r="G51" s="841"/>
      <c r="H51" s="841"/>
      <c r="I51" s="841"/>
      <c r="J51" s="841"/>
      <c r="K51" s="841"/>
      <c r="L51" s="841"/>
      <c r="M51" s="841"/>
      <c r="N51" s="841"/>
      <c r="O51" s="841"/>
      <c r="P51" s="841"/>
      <c r="Q51" s="841"/>
      <c r="R51" s="841"/>
      <c r="S51" s="841"/>
      <c r="T51" s="841"/>
      <c r="U51" s="841"/>
      <c r="V51" s="841"/>
      <c r="W51" s="841"/>
      <c r="X51" s="841"/>
      <c r="Y51" s="841"/>
      <c r="Z51" s="841"/>
    </row>
    <row r="52" spans="1:26" ht="12.75" customHeight="1" x14ac:dyDescent="0.3">
      <c r="A52" s="841"/>
      <c r="B52" s="841"/>
      <c r="C52" s="841"/>
      <c r="D52" s="841"/>
      <c r="E52" s="841"/>
      <c r="F52" s="841"/>
      <c r="G52" s="841"/>
      <c r="H52" s="841"/>
      <c r="I52" s="841"/>
      <c r="J52" s="841"/>
      <c r="K52" s="841"/>
      <c r="L52" s="841"/>
      <c r="M52" s="841"/>
      <c r="N52" s="841"/>
      <c r="O52" s="841"/>
      <c r="P52" s="841"/>
      <c r="Q52" s="841"/>
      <c r="R52" s="841"/>
      <c r="S52" s="841"/>
      <c r="T52" s="841"/>
      <c r="U52" s="841"/>
      <c r="V52" s="841"/>
      <c r="W52" s="841"/>
      <c r="X52" s="841"/>
      <c r="Y52" s="841"/>
      <c r="Z52" s="841"/>
    </row>
    <row r="53" spans="1:26" ht="12.75" customHeight="1" x14ac:dyDescent="0.3">
      <c r="A53" s="841"/>
      <c r="B53" s="841"/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</row>
    <row r="54" spans="1:26" ht="12.75" customHeight="1" x14ac:dyDescent="0.3">
      <c r="A54" s="841"/>
      <c r="B54" s="841"/>
      <c r="C54" s="841"/>
      <c r="D54" s="841"/>
      <c r="E54" s="841"/>
      <c r="F54" s="841"/>
      <c r="G54" s="841"/>
      <c r="H54" s="841"/>
      <c r="I54" s="841"/>
      <c r="J54" s="841"/>
      <c r="K54" s="841"/>
      <c r="L54" s="841"/>
      <c r="M54" s="841"/>
      <c r="N54" s="841"/>
      <c r="O54" s="841"/>
      <c r="P54" s="841"/>
      <c r="Q54" s="841"/>
      <c r="R54" s="841"/>
      <c r="S54" s="841"/>
      <c r="T54" s="841"/>
      <c r="U54" s="841"/>
      <c r="V54" s="841"/>
      <c r="W54" s="841"/>
      <c r="X54" s="841"/>
      <c r="Y54" s="841"/>
      <c r="Z54" s="841"/>
    </row>
    <row r="55" spans="1:26" ht="12.75" customHeight="1" x14ac:dyDescent="0.3">
      <c r="A55" s="841"/>
      <c r="B55" s="841"/>
      <c r="C55" s="841"/>
      <c r="D55" s="841"/>
      <c r="E55" s="841"/>
      <c r="F55" s="841"/>
      <c r="G55" s="841"/>
      <c r="H55" s="841"/>
      <c r="I55" s="841"/>
      <c r="J55" s="841"/>
      <c r="K55" s="841"/>
      <c r="L55" s="841"/>
      <c r="M55" s="841"/>
      <c r="N55" s="841"/>
      <c r="O55" s="841"/>
      <c r="P55" s="841"/>
      <c r="Q55" s="841"/>
      <c r="R55" s="841"/>
      <c r="S55" s="841"/>
      <c r="T55" s="841"/>
      <c r="U55" s="841"/>
      <c r="V55" s="841"/>
      <c r="W55" s="841"/>
      <c r="X55" s="841"/>
      <c r="Y55" s="841"/>
      <c r="Z55" s="841"/>
    </row>
    <row r="56" spans="1:26" ht="12.75" customHeight="1" x14ac:dyDescent="0.3">
      <c r="A56" s="841"/>
      <c r="B56" s="841"/>
      <c r="C56" s="841"/>
      <c r="D56" s="841"/>
      <c r="E56" s="841"/>
      <c r="F56" s="841"/>
      <c r="G56" s="841"/>
      <c r="H56" s="841"/>
      <c r="I56" s="841"/>
      <c r="J56" s="841"/>
      <c r="K56" s="841"/>
      <c r="L56" s="841"/>
      <c r="M56" s="841"/>
      <c r="N56" s="841"/>
      <c r="O56" s="841"/>
      <c r="P56" s="841"/>
      <c r="Q56" s="841"/>
      <c r="R56" s="841"/>
      <c r="S56" s="841"/>
      <c r="T56" s="841"/>
      <c r="U56" s="841"/>
      <c r="V56" s="841"/>
      <c r="W56" s="841"/>
      <c r="X56" s="841"/>
      <c r="Y56" s="841"/>
      <c r="Z56" s="841"/>
    </row>
    <row r="57" spans="1:26" ht="12.75" customHeight="1" x14ac:dyDescent="0.3">
      <c r="A57" s="841"/>
      <c r="B57" s="841"/>
      <c r="C57" s="841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  <c r="O57" s="841"/>
      <c r="P57" s="841"/>
      <c r="Q57" s="841"/>
      <c r="R57" s="841"/>
      <c r="S57" s="841"/>
      <c r="T57" s="841"/>
      <c r="U57" s="841"/>
      <c r="V57" s="841"/>
      <c r="W57" s="841"/>
      <c r="X57" s="841"/>
      <c r="Y57" s="841"/>
      <c r="Z57" s="841"/>
    </row>
    <row r="58" spans="1:26" ht="12.75" customHeight="1" x14ac:dyDescent="0.3">
      <c r="A58" s="841"/>
      <c r="B58" s="841"/>
      <c r="C58" s="841"/>
      <c r="D58" s="841"/>
      <c r="E58" s="841"/>
      <c r="F58" s="841"/>
      <c r="G58" s="841"/>
      <c r="H58" s="841"/>
      <c r="I58" s="841"/>
      <c r="J58" s="841"/>
      <c r="K58" s="841"/>
      <c r="L58" s="841"/>
      <c r="M58" s="841"/>
      <c r="N58" s="841"/>
      <c r="O58" s="841"/>
      <c r="P58" s="841"/>
      <c r="Q58" s="841"/>
      <c r="R58" s="841"/>
      <c r="S58" s="841"/>
      <c r="T58" s="841"/>
      <c r="U58" s="841"/>
      <c r="V58" s="841"/>
      <c r="W58" s="841"/>
      <c r="X58" s="841"/>
      <c r="Y58" s="841"/>
      <c r="Z58" s="841"/>
    </row>
    <row r="59" spans="1:26" ht="12.75" customHeight="1" x14ac:dyDescent="0.3">
      <c r="A59" s="841"/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1"/>
      <c r="R59" s="841"/>
      <c r="S59" s="841"/>
      <c r="T59" s="841"/>
      <c r="U59" s="841"/>
      <c r="V59" s="841"/>
      <c r="W59" s="841"/>
      <c r="X59" s="841"/>
      <c r="Y59" s="841"/>
      <c r="Z59" s="841"/>
    </row>
    <row r="60" spans="1:26" ht="12.75" customHeight="1" x14ac:dyDescent="0.3">
      <c r="A60" s="841"/>
      <c r="B60" s="841"/>
      <c r="C60" s="841"/>
      <c r="D60" s="841"/>
      <c r="E60" s="841"/>
      <c r="F60" s="841"/>
      <c r="G60" s="841"/>
      <c r="H60" s="841"/>
      <c r="I60" s="841"/>
      <c r="J60" s="841"/>
      <c r="K60" s="841"/>
      <c r="L60" s="841"/>
      <c r="M60" s="841"/>
      <c r="N60" s="841"/>
      <c r="O60" s="841"/>
      <c r="P60" s="841"/>
      <c r="Q60" s="841"/>
      <c r="R60" s="841"/>
      <c r="S60" s="841"/>
      <c r="T60" s="841"/>
      <c r="U60" s="841"/>
      <c r="V60" s="841"/>
      <c r="W60" s="841"/>
      <c r="X60" s="841"/>
      <c r="Y60" s="841"/>
      <c r="Z60" s="841"/>
    </row>
    <row r="61" spans="1:26" ht="12.75" customHeight="1" x14ac:dyDescent="0.3">
      <c r="A61" s="841"/>
      <c r="B61" s="841"/>
      <c r="C61" s="841"/>
      <c r="D61" s="841"/>
      <c r="E61" s="841"/>
      <c r="F61" s="841"/>
      <c r="G61" s="841"/>
      <c r="H61" s="841"/>
      <c r="I61" s="841"/>
      <c r="J61" s="841"/>
      <c r="K61" s="841"/>
      <c r="L61" s="841"/>
      <c r="M61" s="841"/>
      <c r="N61" s="841"/>
      <c r="O61" s="841"/>
      <c r="P61" s="841"/>
      <c r="Q61" s="841"/>
      <c r="R61" s="841"/>
      <c r="S61" s="841"/>
      <c r="T61" s="841"/>
      <c r="U61" s="841"/>
      <c r="V61" s="841"/>
      <c r="W61" s="841"/>
      <c r="X61" s="841"/>
      <c r="Y61" s="841"/>
      <c r="Z61" s="841"/>
    </row>
    <row r="62" spans="1:26" ht="12.75" customHeight="1" x14ac:dyDescent="0.3">
      <c r="A62" s="841"/>
      <c r="B62" s="841"/>
      <c r="C62" s="841"/>
      <c r="D62" s="841"/>
      <c r="E62" s="841"/>
      <c r="F62" s="841"/>
      <c r="G62" s="841"/>
      <c r="H62" s="841"/>
      <c r="I62" s="841"/>
      <c r="J62" s="841"/>
      <c r="K62" s="841"/>
      <c r="L62" s="841"/>
      <c r="M62" s="841"/>
      <c r="N62" s="841"/>
      <c r="O62" s="841"/>
      <c r="P62" s="841"/>
      <c r="Q62" s="841"/>
      <c r="R62" s="841"/>
      <c r="S62" s="841"/>
      <c r="T62" s="841"/>
      <c r="U62" s="841"/>
      <c r="V62" s="841"/>
      <c r="W62" s="841"/>
      <c r="X62" s="841"/>
      <c r="Y62" s="841"/>
      <c r="Z62" s="841"/>
    </row>
    <row r="63" spans="1:26" ht="12.75" customHeight="1" x14ac:dyDescent="0.3">
      <c r="A63" s="841"/>
      <c r="B63" s="841"/>
      <c r="C63" s="841"/>
      <c r="D63" s="841"/>
      <c r="E63" s="841"/>
      <c r="F63" s="841"/>
      <c r="G63" s="841"/>
      <c r="H63" s="841"/>
      <c r="I63" s="841"/>
      <c r="J63" s="841"/>
      <c r="K63" s="841"/>
      <c r="L63" s="841"/>
      <c r="M63" s="841"/>
      <c r="N63" s="841"/>
      <c r="O63" s="841"/>
      <c r="P63" s="841"/>
      <c r="Q63" s="841"/>
      <c r="R63" s="841"/>
      <c r="S63" s="841"/>
      <c r="T63" s="841"/>
      <c r="U63" s="841"/>
      <c r="V63" s="841"/>
      <c r="W63" s="841"/>
      <c r="X63" s="841"/>
      <c r="Y63" s="841"/>
      <c r="Z63" s="841"/>
    </row>
    <row r="64" spans="1:26" ht="12.75" customHeight="1" x14ac:dyDescent="0.3">
      <c r="A64" s="841"/>
      <c r="B64" s="841"/>
      <c r="C64" s="841"/>
      <c r="D64" s="841"/>
      <c r="E64" s="841"/>
      <c r="F64" s="841"/>
      <c r="G64" s="841"/>
      <c r="H64" s="841"/>
      <c r="I64" s="841"/>
      <c r="J64" s="841"/>
      <c r="K64" s="841"/>
      <c r="L64" s="841"/>
      <c r="M64" s="841"/>
      <c r="N64" s="841"/>
      <c r="O64" s="841"/>
      <c r="P64" s="841"/>
      <c r="Q64" s="841"/>
      <c r="R64" s="841"/>
      <c r="S64" s="841"/>
      <c r="T64" s="841"/>
      <c r="U64" s="841"/>
      <c r="V64" s="841"/>
      <c r="W64" s="841"/>
      <c r="X64" s="841"/>
      <c r="Y64" s="841"/>
      <c r="Z64" s="841"/>
    </row>
    <row r="65" spans="1:26" ht="12.75" customHeight="1" x14ac:dyDescent="0.3">
      <c r="A65" s="841"/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</row>
    <row r="66" spans="1:26" ht="12.75" customHeight="1" x14ac:dyDescent="0.3">
      <c r="A66" s="841"/>
      <c r="B66" s="841"/>
      <c r="C66" s="841"/>
      <c r="D66" s="841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1"/>
      <c r="P66" s="841"/>
      <c r="Q66" s="841"/>
      <c r="R66" s="841"/>
      <c r="S66" s="841"/>
      <c r="T66" s="841"/>
      <c r="U66" s="841"/>
      <c r="V66" s="841"/>
      <c r="W66" s="841"/>
      <c r="X66" s="841"/>
      <c r="Y66" s="841"/>
      <c r="Z66" s="841"/>
    </row>
    <row r="67" spans="1:26" ht="12.75" customHeight="1" x14ac:dyDescent="0.3">
      <c r="A67" s="841"/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</row>
    <row r="68" spans="1:26" ht="12.75" customHeight="1" x14ac:dyDescent="0.3">
      <c r="A68" s="841"/>
      <c r="B68" s="841"/>
      <c r="C68" s="841"/>
      <c r="D68" s="841"/>
      <c r="E68" s="841"/>
      <c r="F68" s="841"/>
      <c r="G68" s="841"/>
      <c r="H68" s="841"/>
      <c r="I68" s="841"/>
      <c r="J68" s="841"/>
      <c r="K68" s="841"/>
      <c r="L68" s="841"/>
      <c r="M68" s="841"/>
      <c r="N68" s="841"/>
      <c r="O68" s="841"/>
      <c r="P68" s="841"/>
      <c r="Q68" s="841"/>
      <c r="R68" s="841"/>
      <c r="S68" s="841"/>
      <c r="T68" s="841"/>
      <c r="U68" s="841"/>
      <c r="V68" s="841"/>
      <c r="W68" s="841"/>
      <c r="X68" s="841"/>
      <c r="Y68" s="841"/>
      <c r="Z68" s="841"/>
    </row>
    <row r="69" spans="1:26" ht="12.75" customHeight="1" x14ac:dyDescent="0.3">
      <c r="A69" s="841"/>
      <c r="B69" s="841"/>
      <c r="C69" s="841"/>
      <c r="D69" s="841"/>
      <c r="E69" s="841"/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1"/>
      <c r="Q69" s="841"/>
      <c r="R69" s="841"/>
      <c r="S69" s="841"/>
      <c r="T69" s="841"/>
      <c r="U69" s="841"/>
      <c r="V69" s="841"/>
      <c r="W69" s="841"/>
      <c r="X69" s="841"/>
      <c r="Y69" s="841"/>
      <c r="Z69" s="841"/>
    </row>
    <row r="70" spans="1:26" ht="12.75" customHeight="1" x14ac:dyDescent="0.3">
      <c r="A70" s="841"/>
      <c r="B70" s="841"/>
      <c r="C70" s="841"/>
      <c r="D70" s="841"/>
      <c r="E70" s="841"/>
      <c r="F70" s="841"/>
      <c r="G70" s="841"/>
      <c r="H70" s="841"/>
      <c r="I70" s="841"/>
      <c r="J70" s="841"/>
      <c r="K70" s="841"/>
      <c r="L70" s="841"/>
      <c r="M70" s="841"/>
      <c r="N70" s="841"/>
      <c r="O70" s="841"/>
      <c r="P70" s="841"/>
      <c r="Q70" s="841"/>
      <c r="R70" s="841"/>
      <c r="S70" s="841"/>
      <c r="T70" s="841"/>
      <c r="U70" s="841"/>
      <c r="V70" s="841"/>
      <c r="W70" s="841"/>
      <c r="X70" s="841"/>
      <c r="Y70" s="841"/>
      <c r="Z70" s="841"/>
    </row>
    <row r="71" spans="1:26" ht="12.75" customHeight="1" x14ac:dyDescent="0.3">
      <c r="A71" s="841"/>
      <c r="B71" s="841"/>
      <c r="C71" s="841"/>
      <c r="D71" s="841"/>
      <c r="E71" s="841"/>
      <c r="F71" s="841"/>
      <c r="G71" s="841"/>
      <c r="H71" s="841"/>
      <c r="I71" s="841"/>
      <c r="J71" s="841"/>
      <c r="K71" s="841"/>
      <c r="L71" s="841"/>
      <c r="M71" s="841"/>
      <c r="N71" s="841"/>
      <c r="O71" s="841"/>
      <c r="P71" s="841"/>
      <c r="Q71" s="841"/>
      <c r="R71" s="841"/>
      <c r="S71" s="841"/>
      <c r="T71" s="841"/>
      <c r="U71" s="841"/>
      <c r="V71" s="841"/>
      <c r="W71" s="841"/>
      <c r="X71" s="841"/>
      <c r="Y71" s="841"/>
      <c r="Z71" s="841"/>
    </row>
    <row r="72" spans="1:26" ht="12.75" customHeight="1" x14ac:dyDescent="0.3">
      <c r="A72" s="841"/>
      <c r="B72" s="841"/>
      <c r="C72" s="841"/>
      <c r="D72" s="841"/>
      <c r="E72" s="841"/>
      <c r="F72" s="841"/>
      <c r="G72" s="841"/>
      <c r="H72" s="841"/>
      <c r="I72" s="841"/>
      <c r="J72" s="841"/>
      <c r="K72" s="841"/>
      <c r="L72" s="841"/>
      <c r="M72" s="841"/>
      <c r="N72" s="841"/>
      <c r="O72" s="841"/>
      <c r="P72" s="841"/>
      <c r="Q72" s="841"/>
      <c r="R72" s="841"/>
      <c r="S72" s="841"/>
      <c r="T72" s="841"/>
      <c r="U72" s="841"/>
      <c r="V72" s="841"/>
      <c r="W72" s="841"/>
      <c r="X72" s="841"/>
      <c r="Y72" s="841"/>
      <c r="Z72" s="841"/>
    </row>
    <row r="73" spans="1:26" ht="12.75" customHeight="1" x14ac:dyDescent="0.3">
      <c r="A73" s="841"/>
      <c r="B73" s="841"/>
      <c r="C73" s="841"/>
      <c r="D73" s="841"/>
      <c r="E73" s="841"/>
      <c r="F73" s="841"/>
      <c r="G73" s="841"/>
      <c r="H73" s="841"/>
      <c r="I73" s="841"/>
      <c r="J73" s="841"/>
      <c r="K73" s="841"/>
      <c r="L73" s="841"/>
      <c r="M73" s="841"/>
      <c r="N73" s="841"/>
      <c r="O73" s="841"/>
      <c r="P73" s="841"/>
      <c r="Q73" s="841"/>
      <c r="R73" s="841"/>
      <c r="S73" s="841"/>
      <c r="T73" s="841"/>
      <c r="U73" s="841"/>
      <c r="V73" s="841"/>
      <c r="W73" s="841"/>
      <c r="X73" s="841"/>
      <c r="Y73" s="841"/>
      <c r="Z73" s="841"/>
    </row>
    <row r="74" spans="1:26" ht="12.75" customHeight="1" x14ac:dyDescent="0.3">
      <c r="A74" s="841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841"/>
      <c r="R74" s="841"/>
      <c r="S74" s="841"/>
      <c r="T74" s="841"/>
      <c r="U74" s="841"/>
      <c r="V74" s="841"/>
      <c r="W74" s="841"/>
      <c r="X74" s="841"/>
      <c r="Y74" s="841"/>
      <c r="Z74" s="841"/>
    </row>
    <row r="75" spans="1:26" ht="12.75" customHeight="1" x14ac:dyDescent="0.3">
      <c r="A75" s="841"/>
      <c r="B75" s="841"/>
      <c r="C75" s="841"/>
      <c r="D75" s="841"/>
      <c r="E75" s="841"/>
      <c r="F75" s="841"/>
      <c r="G75" s="841"/>
      <c r="H75" s="841"/>
      <c r="I75" s="841"/>
      <c r="J75" s="841"/>
      <c r="K75" s="841"/>
      <c r="L75" s="841"/>
      <c r="M75" s="841"/>
      <c r="N75" s="841"/>
      <c r="O75" s="841"/>
      <c r="P75" s="841"/>
      <c r="Q75" s="841"/>
      <c r="R75" s="841"/>
      <c r="S75" s="841"/>
      <c r="T75" s="841"/>
      <c r="U75" s="841"/>
      <c r="V75" s="841"/>
      <c r="W75" s="841"/>
      <c r="X75" s="841"/>
      <c r="Y75" s="841"/>
      <c r="Z75" s="841"/>
    </row>
    <row r="76" spans="1:26" ht="12.75" customHeight="1" x14ac:dyDescent="0.3">
      <c r="A76" s="841"/>
      <c r="B76" s="841"/>
      <c r="C76" s="841"/>
      <c r="D76" s="841"/>
      <c r="E76" s="841"/>
      <c r="F76" s="841"/>
      <c r="G76" s="841"/>
      <c r="H76" s="841"/>
      <c r="I76" s="841"/>
      <c r="J76" s="841"/>
      <c r="K76" s="841"/>
      <c r="L76" s="841"/>
      <c r="M76" s="841"/>
      <c r="N76" s="841"/>
      <c r="O76" s="841"/>
      <c r="P76" s="841"/>
      <c r="Q76" s="841"/>
      <c r="R76" s="841"/>
      <c r="S76" s="841"/>
      <c r="T76" s="841"/>
      <c r="U76" s="841"/>
      <c r="V76" s="841"/>
      <c r="W76" s="841"/>
      <c r="X76" s="841"/>
      <c r="Y76" s="841"/>
      <c r="Z76" s="841"/>
    </row>
    <row r="77" spans="1:26" ht="12.75" customHeight="1" x14ac:dyDescent="0.3">
      <c r="A77" s="841"/>
      <c r="B77" s="841"/>
      <c r="C77" s="841"/>
      <c r="D77" s="841"/>
      <c r="E77" s="841"/>
      <c r="F77" s="841"/>
      <c r="G77" s="841"/>
      <c r="H77" s="841"/>
      <c r="I77" s="841"/>
      <c r="J77" s="841"/>
      <c r="K77" s="841"/>
      <c r="L77" s="841"/>
      <c r="M77" s="841"/>
      <c r="N77" s="841"/>
      <c r="O77" s="841"/>
      <c r="P77" s="841"/>
      <c r="Q77" s="841"/>
      <c r="R77" s="841"/>
      <c r="S77" s="841"/>
      <c r="T77" s="841"/>
      <c r="U77" s="841"/>
      <c r="V77" s="841"/>
      <c r="W77" s="841"/>
      <c r="X77" s="841"/>
      <c r="Y77" s="841"/>
      <c r="Z77" s="841"/>
    </row>
    <row r="78" spans="1:26" ht="12.75" customHeight="1" x14ac:dyDescent="0.3">
      <c r="A78" s="841"/>
      <c r="B78" s="841"/>
      <c r="C78" s="841"/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841"/>
      <c r="Z78" s="841"/>
    </row>
    <row r="79" spans="1:26" ht="12.75" customHeight="1" x14ac:dyDescent="0.3">
      <c r="A79" s="841"/>
      <c r="B79" s="841"/>
      <c r="C79" s="841"/>
      <c r="D79" s="841"/>
      <c r="E79" s="841"/>
      <c r="F79" s="841"/>
      <c r="G79" s="841"/>
      <c r="H79" s="841"/>
      <c r="I79" s="841"/>
      <c r="J79" s="841"/>
      <c r="K79" s="841"/>
      <c r="L79" s="841"/>
      <c r="M79" s="841"/>
      <c r="N79" s="841"/>
      <c r="O79" s="841"/>
      <c r="P79" s="841"/>
      <c r="Q79" s="841"/>
      <c r="R79" s="841"/>
      <c r="S79" s="841"/>
      <c r="T79" s="841"/>
      <c r="U79" s="841"/>
      <c r="V79" s="841"/>
      <c r="W79" s="841"/>
      <c r="X79" s="841"/>
      <c r="Y79" s="841"/>
      <c r="Z79" s="841"/>
    </row>
    <row r="80" spans="1:26" ht="12.75" customHeight="1" x14ac:dyDescent="0.3">
      <c r="A80" s="841"/>
      <c r="B80" s="841"/>
      <c r="C80" s="841"/>
      <c r="D80" s="841"/>
      <c r="E80" s="841"/>
      <c r="F80" s="841"/>
      <c r="G80" s="841"/>
      <c r="H80" s="841"/>
      <c r="I80" s="841"/>
      <c r="J80" s="841"/>
      <c r="K80" s="841"/>
      <c r="L80" s="841"/>
      <c r="M80" s="841"/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841"/>
      <c r="Z80" s="841"/>
    </row>
    <row r="81" spans="1:26" ht="12.75" customHeight="1" x14ac:dyDescent="0.3">
      <c r="A81" s="841"/>
      <c r="B81" s="841"/>
      <c r="C81" s="841"/>
      <c r="D81" s="841"/>
      <c r="E81" s="841"/>
      <c r="F81" s="841"/>
      <c r="G81" s="841"/>
      <c r="H81" s="841"/>
      <c r="I81" s="841"/>
      <c r="J81" s="841"/>
      <c r="K81" s="841"/>
      <c r="L81" s="841"/>
      <c r="M81" s="841"/>
      <c r="N81" s="841"/>
      <c r="O81" s="841"/>
      <c r="P81" s="841"/>
      <c r="Q81" s="841"/>
      <c r="R81" s="841"/>
      <c r="S81" s="841"/>
      <c r="T81" s="841"/>
      <c r="U81" s="841"/>
      <c r="V81" s="841"/>
      <c r="W81" s="841"/>
      <c r="X81" s="841"/>
      <c r="Y81" s="841"/>
      <c r="Z81" s="841"/>
    </row>
    <row r="82" spans="1:26" ht="12.75" customHeight="1" x14ac:dyDescent="0.3">
      <c r="A82" s="841"/>
      <c r="B82" s="841"/>
      <c r="C82" s="841"/>
      <c r="D82" s="841"/>
      <c r="E82" s="841"/>
      <c r="F82" s="841"/>
      <c r="G82" s="841"/>
      <c r="H82" s="841"/>
      <c r="I82" s="841"/>
      <c r="J82" s="841"/>
      <c r="K82" s="841"/>
      <c r="L82" s="841"/>
      <c r="M82" s="841"/>
      <c r="N82" s="841"/>
      <c r="O82" s="841"/>
      <c r="P82" s="841"/>
      <c r="Q82" s="841"/>
      <c r="R82" s="841"/>
      <c r="S82" s="841"/>
      <c r="T82" s="841"/>
      <c r="U82" s="841"/>
      <c r="V82" s="841"/>
      <c r="W82" s="841"/>
      <c r="X82" s="841"/>
      <c r="Y82" s="841"/>
      <c r="Z82" s="841"/>
    </row>
    <row r="83" spans="1:26" ht="12.75" customHeight="1" x14ac:dyDescent="0.3">
      <c r="A83" s="841"/>
      <c r="B83" s="841"/>
      <c r="C83" s="841"/>
      <c r="D83" s="841"/>
      <c r="E83" s="841"/>
      <c r="F83" s="841"/>
      <c r="G83" s="841"/>
      <c r="H83" s="841"/>
      <c r="I83" s="841"/>
      <c r="J83" s="841"/>
      <c r="K83" s="841"/>
      <c r="L83" s="841"/>
      <c r="M83" s="841"/>
      <c r="N83" s="841"/>
      <c r="O83" s="841"/>
      <c r="P83" s="841"/>
      <c r="Q83" s="841"/>
      <c r="R83" s="841"/>
      <c r="S83" s="841"/>
      <c r="T83" s="841"/>
      <c r="U83" s="841"/>
      <c r="V83" s="841"/>
      <c r="W83" s="841"/>
      <c r="X83" s="841"/>
      <c r="Y83" s="841"/>
      <c r="Z83" s="841"/>
    </row>
    <row r="84" spans="1:26" ht="12.75" customHeight="1" x14ac:dyDescent="0.3">
      <c r="A84" s="841"/>
      <c r="B84" s="841"/>
      <c r="C84" s="841"/>
      <c r="D84" s="841"/>
      <c r="E84" s="841"/>
      <c r="F84" s="841"/>
      <c r="G84" s="841"/>
      <c r="H84" s="841"/>
      <c r="I84" s="841"/>
      <c r="J84" s="841"/>
      <c r="K84" s="841"/>
      <c r="L84" s="841"/>
      <c r="M84" s="841"/>
      <c r="N84" s="841"/>
      <c r="O84" s="841"/>
      <c r="P84" s="841"/>
      <c r="Q84" s="841"/>
      <c r="R84" s="841"/>
      <c r="S84" s="841"/>
      <c r="T84" s="841"/>
      <c r="U84" s="841"/>
      <c r="V84" s="841"/>
      <c r="W84" s="841"/>
      <c r="X84" s="841"/>
      <c r="Y84" s="841"/>
      <c r="Z84" s="841"/>
    </row>
    <row r="85" spans="1:26" ht="12.75" customHeight="1" x14ac:dyDescent="0.3">
      <c r="A85" s="841"/>
      <c r="B85" s="841"/>
      <c r="C85" s="841"/>
      <c r="D85" s="841"/>
      <c r="E85" s="841"/>
      <c r="F85" s="841"/>
      <c r="G85" s="841"/>
      <c r="H85" s="841"/>
      <c r="I85" s="841"/>
      <c r="J85" s="841"/>
      <c r="K85" s="841"/>
      <c r="L85" s="841"/>
      <c r="M85" s="841"/>
      <c r="N85" s="841"/>
      <c r="O85" s="841"/>
      <c r="P85" s="841"/>
      <c r="Q85" s="841"/>
      <c r="R85" s="841"/>
      <c r="S85" s="841"/>
      <c r="T85" s="841"/>
      <c r="U85" s="841"/>
      <c r="V85" s="841"/>
      <c r="W85" s="841"/>
      <c r="X85" s="841"/>
      <c r="Y85" s="841"/>
      <c r="Z85" s="841"/>
    </row>
    <row r="86" spans="1:26" ht="12.75" customHeight="1" x14ac:dyDescent="0.3">
      <c r="A86" s="841"/>
      <c r="B86" s="841"/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841"/>
      <c r="X86" s="841"/>
      <c r="Y86" s="841"/>
      <c r="Z86" s="841"/>
    </row>
    <row r="87" spans="1:26" ht="12.75" customHeight="1" x14ac:dyDescent="0.3">
      <c r="A87" s="841"/>
      <c r="B87" s="841"/>
      <c r="C87" s="841"/>
      <c r="D87" s="841"/>
      <c r="E87" s="841"/>
      <c r="F87" s="841"/>
      <c r="G87" s="841"/>
      <c r="H87" s="841"/>
      <c r="I87" s="841"/>
      <c r="J87" s="841"/>
      <c r="K87" s="841"/>
      <c r="L87" s="841"/>
      <c r="M87" s="841"/>
      <c r="N87" s="841"/>
      <c r="O87" s="841"/>
      <c r="P87" s="841"/>
      <c r="Q87" s="841"/>
      <c r="R87" s="841"/>
      <c r="S87" s="841"/>
      <c r="T87" s="841"/>
      <c r="U87" s="841"/>
      <c r="V87" s="841"/>
      <c r="W87" s="841"/>
      <c r="X87" s="841"/>
      <c r="Y87" s="841"/>
      <c r="Z87" s="841"/>
    </row>
    <row r="88" spans="1:26" ht="12.75" customHeight="1" x14ac:dyDescent="0.3">
      <c r="A88" s="841"/>
      <c r="B88" s="841"/>
      <c r="C88" s="841"/>
      <c r="D88" s="841"/>
      <c r="E88" s="841"/>
      <c r="F88" s="841"/>
      <c r="G88" s="841"/>
      <c r="H88" s="841"/>
      <c r="I88" s="841"/>
      <c r="J88" s="841"/>
      <c r="K88" s="841"/>
      <c r="L88" s="841"/>
      <c r="M88" s="841"/>
      <c r="N88" s="841"/>
      <c r="O88" s="841"/>
      <c r="P88" s="841"/>
      <c r="Q88" s="841"/>
      <c r="R88" s="841"/>
      <c r="S88" s="841"/>
      <c r="T88" s="841"/>
      <c r="U88" s="841"/>
      <c r="V88" s="841"/>
      <c r="W88" s="841"/>
      <c r="X88" s="841"/>
      <c r="Y88" s="841"/>
      <c r="Z88" s="841"/>
    </row>
    <row r="89" spans="1:26" ht="12.75" customHeight="1" x14ac:dyDescent="0.3">
      <c r="A89" s="841"/>
      <c r="B89" s="841"/>
      <c r="C89" s="841"/>
      <c r="D89" s="841"/>
      <c r="E89" s="841"/>
      <c r="F89" s="841"/>
      <c r="G89" s="841"/>
      <c r="H89" s="841"/>
      <c r="I89" s="841"/>
      <c r="J89" s="841"/>
      <c r="K89" s="841"/>
      <c r="L89" s="841"/>
      <c r="M89" s="841"/>
      <c r="N89" s="841"/>
      <c r="O89" s="841"/>
      <c r="P89" s="841"/>
      <c r="Q89" s="841"/>
      <c r="R89" s="841"/>
      <c r="S89" s="841"/>
      <c r="T89" s="841"/>
      <c r="U89" s="841"/>
      <c r="V89" s="841"/>
      <c r="W89" s="841"/>
      <c r="X89" s="841"/>
      <c r="Y89" s="841"/>
      <c r="Z89" s="841"/>
    </row>
    <row r="90" spans="1:26" ht="12.75" customHeight="1" x14ac:dyDescent="0.3">
      <c r="A90" s="841"/>
      <c r="B90" s="841"/>
      <c r="C90" s="841"/>
      <c r="D90" s="841"/>
      <c r="E90" s="841"/>
      <c r="F90" s="841"/>
      <c r="G90" s="841"/>
      <c r="H90" s="841"/>
      <c r="I90" s="841"/>
      <c r="J90" s="841"/>
      <c r="K90" s="841"/>
      <c r="L90" s="841"/>
      <c r="M90" s="841"/>
      <c r="N90" s="841"/>
      <c r="O90" s="841"/>
      <c r="P90" s="841"/>
      <c r="Q90" s="841"/>
      <c r="R90" s="841"/>
      <c r="S90" s="841"/>
      <c r="T90" s="841"/>
      <c r="U90" s="841"/>
      <c r="V90" s="841"/>
      <c r="W90" s="841"/>
      <c r="X90" s="841"/>
      <c r="Y90" s="841"/>
      <c r="Z90" s="841"/>
    </row>
    <row r="91" spans="1:26" ht="12.75" customHeight="1" x14ac:dyDescent="0.3">
      <c r="A91" s="841"/>
      <c r="B91" s="841"/>
      <c r="C91" s="841"/>
      <c r="D91" s="841"/>
      <c r="E91" s="841"/>
      <c r="F91" s="841"/>
      <c r="G91" s="841"/>
      <c r="H91" s="841"/>
      <c r="I91" s="841"/>
      <c r="J91" s="841"/>
      <c r="K91" s="841"/>
      <c r="L91" s="841"/>
      <c r="M91" s="841"/>
      <c r="N91" s="841"/>
      <c r="O91" s="841"/>
      <c r="P91" s="841"/>
      <c r="Q91" s="841"/>
      <c r="R91" s="841"/>
      <c r="S91" s="841"/>
      <c r="T91" s="841"/>
      <c r="U91" s="841"/>
      <c r="V91" s="841"/>
      <c r="W91" s="841"/>
      <c r="X91" s="841"/>
      <c r="Y91" s="841"/>
      <c r="Z91" s="841"/>
    </row>
    <row r="92" spans="1:26" ht="12.75" customHeight="1" x14ac:dyDescent="0.3">
      <c r="A92" s="841"/>
      <c r="B92" s="841"/>
      <c r="C92" s="841"/>
      <c r="D92" s="841"/>
      <c r="E92" s="841"/>
      <c r="F92" s="841"/>
      <c r="G92" s="841"/>
      <c r="H92" s="841"/>
      <c r="I92" s="841"/>
      <c r="J92" s="841"/>
      <c r="K92" s="841"/>
      <c r="L92" s="841"/>
      <c r="M92" s="841"/>
      <c r="N92" s="841"/>
      <c r="O92" s="841"/>
      <c r="P92" s="841"/>
      <c r="Q92" s="841"/>
      <c r="R92" s="841"/>
      <c r="S92" s="841"/>
      <c r="T92" s="841"/>
      <c r="U92" s="841"/>
      <c r="V92" s="841"/>
      <c r="W92" s="841"/>
      <c r="X92" s="841"/>
      <c r="Y92" s="841"/>
      <c r="Z92" s="841"/>
    </row>
    <row r="93" spans="1:26" ht="12.75" customHeight="1" x14ac:dyDescent="0.3">
      <c r="A93" s="841"/>
      <c r="B93" s="841"/>
      <c r="C93" s="841"/>
      <c r="D93" s="841"/>
      <c r="E93" s="841"/>
      <c r="F93" s="841"/>
      <c r="G93" s="841"/>
      <c r="H93" s="841"/>
      <c r="I93" s="841"/>
      <c r="J93" s="841"/>
      <c r="K93" s="841"/>
      <c r="L93" s="841"/>
      <c r="M93" s="841"/>
      <c r="N93" s="841"/>
      <c r="O93" s="841"/>
      <c r="P93" s="841"/>
      <c r="Q93" s="841"/>
      <c r="R93" s="841"/>
      <c r="S93" s="841"/>
      <c r="T93" s="841"/>
      <c r="U93" s="841"/>
      <c r="V93" s="841"/>
      <c r="W93" s="841"/>
      <c r="X93" s="841"/>
      <c r="Y93" s="841"/>
      <c r="Z93" s="841"/>
    </row>
    <row r="94" spans="1:26" ht="12.75" customHeight="1" x14ac:dyDescent="0.3">
      <c r="A94" s="841"/>
      <c r="B94" s="841"/>
      <c r="C94" s="841"/>
      <c r="D94" s="841"/>
      <c r="E94" s="841"/>
      <c r="F94" s="841"/>
      <c r="G94" s="841"/>
      <c r="H94" s="841"/>
      <c r="I94" s="841"/>
      <c r="J94" s="841"/>
      <c r="K94" s="841"/>
      <c r="L94" s="841"/>
      <c r="M94" s="841"/>
      <c r="N94" s="841"/>
      <c r="O94" s="841"/>
      <c r="P94" s="841"/>
      <c r="Q94" s="841"/>
      <c r="R94" s="841"/>
      <c r="S94" s="841"/>
      <c r="T94" s="841"/>
      <c r="U94" s="841"/>
      <c r="V94" s="841"/>
      <c r="W94" s="841"/>
      <c r="X94" s="841"/>
      <c r="Y94" s="841"/>
      <c r="Z94" s="841"/>
    </row>
    <row r="95" spans="1:26" ht="12.75" customHeight="1" x14ac:dyDescent="0.3">
      <c r="A95" s="841"/>
      <c r="B95" s="841"/>
      <c r="C95" s="841"/>
      <c r="D95" s="841"/>
      <c r="E95" s="841"/>
      <c r="F95" s="841"/>
      <c r="G95" s="841"/>
      <c r="H95" s="841"/>
      <c r="I95" s="841"/>
      <c r="J95" s="841"/>
      <c r="K95" s="841"/>
      <c r="L95" s="841"/>
      <c r="M95" s="841"/>
      <c r="N95" s="841"/>
      <c r="O95" s="841"/>
      <c r="P95" s="841"/>
      <c r="Q95" s="841"/>
      <c r="R95" s="841"/>
      <c r="S95" s="841"/>
      <c r="T95" s="841"/>
      <c r="U95" s="841"/>
      <c r="V95" s="841"/>
      <c r="W95" s="841"/>
      <c r="X95" s="841"/>
      <c r="Y95" s="841"/>
      <c r="Z95" s="841"/>
    </row>
    <row r="96" spans="1:26" ht="12.75" customHeight="1" x14ac:dyDescent="0.3">
      <c r="A96" s="841"/>
      <c r="B96" s="841"/>
      <c r="C96" s="841"/>
      <c r="D96" s="841"/>
      <c r="E96" s="841"/>
      <c r="F96" s="841"/>
      <c r="G96" s="841"/>
      <c r="H96" s="841"/>
      <c r="I96" s="841"/>
      <c r="J96" s="841"/>
      <c r="K96" s="841"/>
      <c r="L96" s="841"/>
      <c r="M96" s="841"/>
      <c r="N96" s="841"/>
      <c r="O96" s="841"/>
      <c r="P96" s="841"/>
      <c r="Q96" s="841"/>
      <c r="R96" s="841"/>
      <c r="S96" s="841"/>
      <c r="T96" s="841"/>
      <c r="U96" s="841"/>
      <c r="V96" s="841"/>
      <c r="W96" s="841"/>
      <c r="X96" s="841"/>
      <c r="Y96" s="841"/>
      <c r="Z96" s="841"/>
    </row>
    <row r="97" spans="1:26" ht="12.75" customHeight="1" x14ac:dyDescent="0.3">
      <c r="A97" s="841"/>
      <c r="B97" s="841"/>
      <c r="C97" s="841"/>
      <c r="D97" s="841"/>
      <c r="E97" s="841"/>
      <c r="F97" s="841"/>
      <c r="G97" s="841"/>
      <c r="H97" s="841"/>
      <c r="I97" s="841"/>
      <c r="J97" s="841"/>
      <c r="K97" s="841"/>
      <c r="L97" s="841"/>
      <c r="M97" s="841"/>
      <c r="N97" s="841"/>
      <c r="O97" s="841"/>
      <c r="P97" s="841"/>
      <c r="Q97" s="841"/>
      <c r="R97" s="841"/>
      <c r="S97" s="841"/>
      <c r="T97" s="841"/>
      <c r="U97" s="841"/>
      <c r="V97" s="841"/>
      <c r="W97" s="841"/>
      <c r="X97" s="841"/>
      <c r="Y97" s="841"/>
      <c r="Z97" s="841"/>
    </row>
    <row r="98" spans="1:26" ht="12.75" customHeight="1" x14ac:dyDescent="0.3">
      <c r="A98" s="841"/>
      <c r="B98" s="841"/>
      <c r="C98" s="841"/>
      <c r="D98" s="841"/>
      <c r="E98" s="841"/>
      <c r="F98" s="841"/>
      <c r="G98" s="841"/>
      <c r="H98" s="841"/>
      <c r="I98" s="841"/>
      <c r="J98" s="841"/>
      <c r="K98" s="841"/>
      <c r="L98" s="841"/>
      <c r="M98" s="841"/>
      <c r="N98" s="841"/>
      <c r="O98" s="841"/>
      <c r="P98" s="841"/>
      <c r="Q98" s="841"/>
      <c r="R98" s="841"/>
      <c r="S98" s="841"/>
      <c r="T98" s="841"/>
      <c r="U98" s="841"/>
      <c r="V98" s="841"/>
      <c r="W98" s="841"/>
      <c r="X98" s="841"/>
      <c r="Y98" s="841"/>
      <c r="Z98" s="841"/>
    </row>
    <row r="99" spans="1:26" ht="12.75" customHeight="1" x14ac:dyDescent="0.3">
      <c r="A99" s="841"/>
      <c r="B99" s="841"/>
      <c r="C99" s="841"/>
      <c r="D99" s="841"/>
      <c r="E99" s="841"/>
      <c r="F99" s="841"/>
      <c r="G99" s="841"/>
      <c r="H99" s="841"/>
      <c r="I99" s="841"/>
      <c r="J99" s="841"/>
      <c r="K99" s="841"/>
      <c r="L99" s="841"/>
      <c r="M99" s="841"/>
      <c r="N99" s="841"/>
      <c r="O99" s="841"/>
      <c r="P99" s="841"/>
      <c r="Q99" s="841"/>
      <c r="R99" s="841"/>
      <c r="S99" s="841"/>
      <c r="T99" s="841"/>
      <c r="U99" s="841"/>
      <c r="V99" s="841"/>
      <c r="W99" s="841"/>
      <c r="X99" s="841"/>
      <c r="Y99" s="841"/>
      <c r="Z99" s="841"/>
    </row>
    <row r="100" spans="1:26" ht="12.75" customHeight="1" x14ac:dyDescent="0.3">
      <c r="A100" s="841"/>
      <c r="B100" s="841"/>
      <c r="C100" s="841"/>
      <c r="D100" s="841"/>
      <c r="E100" s="841"/>
      <c r="F100" s="841"/>
      <c r="G100" s="841"/>
      <c r="H100" s="841"/>
      <c r="I100" s="841"/>
      <c r="J100" s="841"/>
      <c r="K100" s="841"/>
      <c r="L100" s="841"/>
      <c r="M100" s="841"/>
      <c r="N100" s="841"/>
      <c r="O100" s="841"/>
      <c r="P100" s="841"/>
      <c r="Q100" s="841"/>
      <c r="R100" s="841"/>
      <c r="S100" s="841"/>
      <c r="T100" s="841"/>
      <c r="U100" s="841"/>
      <c r="V100" s="841"/>
      <c r="W100" s="841"/>
      <c r="X100" s="841"/>
      <c r="Y100" s="841"/>
      <c r="Z100" s="841"/>
    </row>
    <row r="101" spans="1:26" ht="12.75" customHeight="1" x14ac:dyDescent="0.3">
      <c r="A101" s="841"/>
      <c r="B101" s="841"/>
      <c r="C101" s="841"/>
      <c r="D101" s="841"/>
      <c r="E101" s="841"/>
      <c r="F101" s="841"/>
      <c r="G101" s="841"/>
      <c r="H101" s="841"/>
      <c r="I101" s="841"/>
      <c r="J101" s="841"/>
      <c r="K101" s="841"/>
      <c r="L101" s="841"/>
      <c r="M101" s="841"/>
      <c r="N101" s="841"/>
      <c r="O101" s="841"/>
      <c r="P101" s="841"/>
      <c r="Q101" s="841"/>
      <c r="R101" s="841"/>
      <c r="S101" s="841"/>
      <c r="T101" s="841"/>
      <c r="U101" s="841"/>
      <c r="V101" s="841"/>
      <c r="W101" s="841"/>
      <c r="X101" s="841"/>
      <c r="Y101" s="841"/>
      <c r="Z101" s="841"/>
    </row>
    <row r="102" spans="1:26" ht="12.75" customHeight="1" x14ac:dyDescent="0.3">
      <c r="A102" s="841"/>
      <c r="B102" s="841"/>
      <c r="C102" s="841"/>
      <c r="D102" s="841"/>
      <c r="E102" s="841"/>
      <c r="F102" s="841"/>
      <c r="G102" s="841"/>
      <c r="H102" s="841"/>
      <c r="I102" s="841"/>
      <c r="J102" s="841"/>
      <c r="K102" s="841"/>
      <c r="L102" s="841"/>
      <c r="M102" s="841"/>
      <c r="N102" s="841"/>
      <c r="O102" s="841"/>
      <c r="P102" s="841"/>
      <c r="Q102" s="841"/>
      <c r="R102" s="841"/>
      <c r="S102" s="841"/>
      <c r="T102" s="841"/>
      <c r="U102" s="841"/>
      <c r="V102" s="841"/>
      <c r="W102" s="841"/>
      <c r="X102" s="841"/>
      <c r="Y102" s="841"/>
      <c r="Z102" s="841"/>
    </row>
    <row r="103" spans="1:26" ht="12.75" customHeight="1" x14ac:dyDescent="0.3">
      <c r="A103" s="841"/>
      <c r="B103" s="841"/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</row>
    <row r="104" spans="1:26" ht="12.75" customHeight="1" x14ac:dyDescent="0.3">
      <c r="A104" s="841"/>
      <c r="B104" s="841"/>
      <c r="C104" s="841"/>
      <c r="D104" s="841"/>
      <c r="E104" s="841"/>
      <c r="F104" s="841"/>
      <c r="G104" s="841"/>
      <c r="H104" s="841"/>
      <c r="I104" s="841"/>
      <c r="J104" s="841"/>
      <c r="K104" s="841"/>
      <c r="L104" s="841"/>
      <c r="M104" s="841"/>
      <c r="N104" s="841"/>
      <c r="O104" s="841"/>
      <c r="P104" s="841"/>
      <c r="Q104" s="841"/>
      <c r="R104" s="841"/>
      <c r="S104" s="841"/>
      <c r="T104" s="841"/>
      <c r="U104" s="841"/>
      <c r="V104" s="841"/>
      <c r="W104" s="841"/>
      <c r="X104" s="841"/>
      <c r="Y104" s="841"/>
      <c r="Z104" s="841"/>
    </row>
    <row r="105" spans="1:26" ht="12.75" customHeight="1" x14ac:dyDescent="0.3">
      <c r="A105" s="841"/>
      <c r="B105" s="841"/>
      <c r="C105" s="841"/>
      <c r="D105" s="841"/>
      <c r="E105" s="841"/>
      <c r="F105" s="841"/>
      <c r="G105" s="841"/>
      <c r="H105" s="841"/>
      <c r="I105" s="841"/>
      <c r="J105" s="841"/>
      <c r="K105" s="841"/>
      <c r="L105" s="841"/>
      <c r="M105" s="841"/>
      <c r="N105" s="841"/>
      <c r="O105" s="841"/>
      <c r="P105" s="841"/>
      <c r="Q105" s="841"/>
      <c r="R105" s="841"/>
      <c r="S105" s="841"/>
      <c r="T105" s="841"/>
      <c r="U105" s="841"/>
      <c r="V105" s="841"/>
      <c r="W105" s="841"/>
      <c r="X105" s="841"/>
      <c r="Y105" s="841"/>
      <c r="Z105" s="841"/>
    </row>
    <row r="106" spans="1:26" ht="12.75" customHeight="1" x14ac:dyDescent="0.3">
      <c r="A106" s="841"/>
      <c r="B106" s="841"/>
      <c r="C106" s="841"/>
      <c r="D106" s="841"/>
      <c r="E106" s="841"/>
      <c r="F106" s="841"/>
      <c r="G106" s="841"/>
      <c r="H106" s="841"/>
      <c r="I106" s="841"/>
      <c r="J106" s="841"/>
      <c r="K106" s="841"/>
      <c r="L106" s="841"/>
      <c r="M106" s="841"/>
      <c r="N106" s="841"/>
      <c r="O106" s="841"/>
      <c r="P106" s="841"/>
      <c r="Q106" s="841"/>
      <c r="R106" s="841"/>
      <c r="S106" s="841"/>
      <c r="T106" s="841"/>
      <c r="U106" s="841"/>
      <c r="V106" s="841"/>
      <c r="W106" s="841"/>
      <c r="X106" s="841"/>
      <c r="Y106" s="841"/>
      <c r="Z106" s="841"/>
    </row>
    <row r="107" spans="1:26" ht="12.75" customHeight="1" x14ac:dyDescent="0.3">
      <c r="A107" s="841"/>
      <c r="B107" s="841"/>
      <c r="C107" s="841"/>
      <c r="D107" s="841"/>
      <c r="E107" s="841"/>
      <c r="F107" s="841"/>
      <c r="G107" s="841"/>
      <c r="H107" s="841"/>
      <c r="I107" s="841"/>
      <c r="J107" s="841"/>
      <c r="K107" s="841"/>
      <c r="L107" s="841"/>
      <c r="M107" s="841"/>
      <c r="N107" s="841"/>
      <c r="O107" s="841"/>
      <c r="P107" s="841"/>
      <c r="Q107" s="841"/>
      <c r="R107" s="841"/>
      <c r="S107" s="841"/>
      <c r="T107" s="841"/>
      <c r="U107" s="841"/>
      <c r="V107" s="841"/>
      <c r="W107" s="841"/>
      <c r="X107" s="841"/>
      <c r="Y107" s="841"/>
      <c r="Z107" s="841"/>
    </row>
    <row r="108" spans="1:26" ht="12.75" customHeight="1" x14ac:dyDescent="0.3">
      <c r="A108" s="841"/>
      <c r="B108" s="841"/>
      <c r="C108" s="841"/>
      <c r="D108" s="841"/>
      <c r="E108" s="841"/>
      <c r="F108" s="841"/>
      <c r="G108" s="841"/>
      <c r="H108" s="841"/>
      <c r="I108" s="841"/>
      <c r="J108" s="841"/>
      <c r="K108" s="841"/>
      <c r="L108" s="841"/>
      <c r="M108" s="841"/>
      <c r="N108" s="841"/>
      <c r="O108" s="841"/>
      <c r="P108" s="841"/>
      <c r="Q108" s="841"/>
      <c r="R108" s="841"/>
      <c r="S108" s="841"/>
      <c r="T108" s="841"/>
      <c r="U108" s="841"/>
      <c r="V108" s="841"/>
      <c r="W108" s="841"/>
      <c r="X108" s="841"/>
      <c r="Y108" s="841"/>
      <c r="Z108" s="841"/>
    </row>
    <row r="109" spans="1:26" ht="12.75" customHeight="1" x14ac:dyDescent="0.3">
      <c r="A109" s="841"/>
      <c r="B109" s="841"/>
      <c r="C109" s="841"/>
      <c r="D109" s="841"/>
      <c r="E109" s="841"/>
      <c r="F109" s="841"/>
      <c r="G109" s="841"/>
      <c r="H109" s="841"/>
      <c r="I109" s="841"/>
      <c r="J109" s="841"/>
      <c r="K109" s="841"/>
      <c r="L109" s="841"/>
      <c r="M109" s="841"/>
      <c r="N109" s="841"/>
      <c r="O109" s="841"/>
      <c r="P109" s="841"/>
      <c r="Q109" s="841"/>
      <c r="R109" s="841"/>
      <c r="S109" s="841"/>
      <c r="T109" s="841"/>
      <c r="U109" s="841"/>
      <c r="V109" s="841"/>
      <c r="W109" s="841"/>
      <c r="X109" s="841"/>
      <c r="Y109" s="841"/>
      <c r="Z109" s="841"/>
    </row>
    <row r="110" spans="1:26" ht="12.75" customHeight="1" x14ac:dyDescent="0.3">
      <c r="A110" s="841"/>
      <c r="B110" s="841"/>
      <c r="C110" s="841"/>
      <c r="D110" s="841"/>
      <c r="E110" s="841"/>
      <c r="F110" s="841"/>
      <c r="G110" s="841"/>
      <c r="H110" s="841"/>
      <c r="I110" s="841"/>
      <c r="J110" s="841"/>
      <c r="K110" s="841"/>
      <c r="L110" s="841"/>
      <c r="M110" s="841"/>
      <c r="N110" s="841"/>
      <c r="O110" s="841"/>
      <c r="P110" s="841"/>
      <c r="Q110" s="841"/>
      <c r="R110" s="841"/>
      <c r="S110" s="841"/>
      <c r="T110" s="841"/>
      <c r="U110" s="841"/>
      <c r="V110" s="841"/>
      <c r="W110" s="841"/>
      <c r="X110" s="841"/>
      <c r="Y110" s="841"/>
      <c r="Z110" s="841"/>
    </row>
    <row r="111" spans="1:26" ht="12.75" customHeight="1" x14ac:dyDescent="0.3">
      <c r="A111" s="841"/>
      <c r="B111" s="841"/>
      <c r="C111" s="841"/>
      <c r="D111" s="841"/>
      <c r="E111" s="841"/>
      <c r="F111" s="841"/>
      <c r="G111" s="841"/>
      <c r="H111" s="841"/>
      <c r="I111" s="841"/>
      <c r="J111" s="841"/>
      <c r="K111" s="841"/>
      <c r="L111" s="841"/>
      <c r="M111" s="841"/>
      <c r="N111" s="841"/>
      <c r="O111" s="841"/>
      <c r="P111" s="841"/>
      <c r="Q111" s="841"/>
      <c r="R111" s="841"/>
      <c r="S111" s="841"/>
      <c r="T111" s="841"/>
      <c r="U111" s="841"/>
      <c r="V111" s="841"/>
      <c r="W111" s="841"/>
      <c r="X111" s="841"/>
      <c r="Y111" s="841"/>
      <c r="Z111" s="841"/>
    </row>
    <row r="112" spans="1:26" ht="12.75" customHeight="1" x14ac:dyDescent="0.3">
      <c r="A112" s="841"/>
      <c r="B112" s="841"/>
      <c r="C112" s="841"/>
      <c r="D112" s="841"/>
      <c r="E112" s="841"/>
      <c r="F112" s="841"/>
      <c r="G112" s="841"/>
      <c r="H112" s="841"/>
      <c r="I112" s="841"/>
      <c r="J112" s="841"/>
      <c r="K112" s="841"/>
      <c r="L112" s="841"/>
      <c r="M112" s="841"/>
      <c r="N112" s="841"/>
      <c r="O112" s="841"/>
      <c r="P112" s="841"/>
      <c r="Q112" s="841"/>
      <c r="R112" s="841"/>
      <c r="S112" s="841"/>
      <c r="T112" s="841"/>
      <c r="U112" s="841"/>
      <c r="V112" s="841"/>
      <c r="W112" s="841"/>
      <c r="X112" s="841"/>
      <c r="Y112" s="841"/>
      <c r="Z112" s="841"/>
    </row>
    <row r="113" spans="1:26" ht="12.75" customHeight="1" x14ac:dyDescent="0.3">
      <c r="A113" s="841"/>
      <c r="B113" s="841"/>
      <c r="C113" s="841"/>
      <c r="D113" s="841"/>
      <c r="E113" s="841"/>
      <c r="F113" s="841"/>
      <c r="G113" s="841"/>
      <c r="H113" s="841"/>
      <c r="I113" s="841"/>
      <c r="J113" s="841"/>
      <c r="K113" s="841"/>
      <c r="L113" s="841"/>
      <c r="M113" s="841"/>
      <c r="N113" s="841"/>
      <c r="O113" s="841"/>
      <c r="P113" s="841"/>
      <c r="Q113" s="841"/>
      <c r="R113" s="841"/>
      <c r="S113" s="841"/>
      <c r="T113" s="841"/>
      <c r="U113" s="841"/>
      <c r="V113" s="841"/>
      <c r="W113" s="841"/>
      <c r="X113" s="841"/>
      <c r="Y113" s="841"/>
      <c r="Z113" s="841"/>
    </row>
    <row r="114" spans="1:26" ht="12.75" customHeight="1" x14ac:dyDescent="0.3">
      <c r="A114" s="841"/>
      <c r="B114" s="841"/>
      <c r="C114" s="841"/>
      <c r="D114" s="841"/>
      <c r="E114" s="841"/>
      <c r="F114" s="841"/>
      <c r="G114" s="841"/>
      <c r="H114" s="841"/>
      <c r="I114" s="841"/>
      <c r="J114" s="841"/>
      <c r="K114" s="841"/>
      <c r="L114" s="841"/>
      <c r="M114" s="841"/>
      <c r="N114" s="841"/>
      <c r="O114" s="841"/>
      <c r="P114" s="841"/>
      <c r="Q114" s="841"/>
      <c r="R114" s="841"/>
      <c r="S114" s="841"/>
      <c r="T114" s="841"/>
      <c r="U114" s="841"/>
      <c r="V114" s="841"/>
      <c r="W114" s="841"/>
      <c r="X114" s="841"/>
      <c r="Y114" s="841"/>
      <c r="Z114" s="841"/>
    </row>
    <row r="115" spans="1:26" ht="12.75" customHeight="1" x14ac:dyDescent="0.3">
      <c r="A115" s="841"/>
      <c r="B115" s="841"/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</row>
    <row r="116" spans="1:26" ht="12.75" customHeight="1" x14ac:dyDescent="0.3">
      <c r="A116" s="841"/>
      <c r="B116" s="841"/>
      <c r="C116" s="841"/>
      <c r="D116" s="841"/>
      <c r="E116" s="841"/>
      <c r="F116" s="841"/>
      <c r="G116" s="841"/>
      <c r="H116" s="841"/>
      <c r="I116" s="841"/>
      <c r="J116" s="841"/>
      <c r="K116" s="841"/>
      <c r="L116" s="841"/>
      <c r="M116" s="841"/>
      <c r="N116" s="841"/>
      <c r="O116" s="841"/>
      <c r="P116" s="841"/>
      <c r="Q116" s="841"/>
      <c r="R116" s="841"/>
      <c r="S116" s="841"/>
      <c r="T116" s="841"/>
      <c r="U116" s="841"/>
      <c r="V116" s="841"/>
      <c r="W116" s="841"/>
      <c r="X116" s="841"/>
      <c r="Y116" s="841"/>
      <c r="Z116" s="841"/>
    </row>
    <row r="117" spans="1:26" ht="12.75" customHeight="1" x14ac:dyDescent="0.3">
      <c r="A117" s="841"/>
      <c r="B117" s="841"/>
      <c r="C117" s="841"/>
      <c r="D117" s="841"/>
      <c r="E117" s="841"/>
      <c r="F117" s="841"/>
      <c r="G117" s="841"/>
      <c r="H117" s="841"/>
      <c r="I117" s="841"/>
      <c r="J117" s="841"/>
      <c r="K117" s="841"/>
      <c r="L117" s="841"/>
      <c r="M117" s="841"/>
      <c r="N117" s="841"/>
      <c r="O117" s="841"/>
      <c r="P117" s="841"/>
      <c r="Q117" s="841"/>
      <c r="R117" s="841"/>
      <c r="S117" s="841"/>
      <c r="T117" s="841"/>
      <c r="U117" s="841"/>
      <c r="V117" s="841"/>
      <c r="W117" s="841"/>
      <c r="X117" s="841"/>
      <c r="Y117" s="841"/>
      <c r="Z117" s="841"/>
    </row>
    <row r="118" spans="1:26" ht="12.75" customHeight="1" x14ac:dyDescent="0.3">
      <c r="A118" s="841"/>
      <c r="B118" s="841"/>
      <c r="C118" s="841"/>
      <c r="D118" s="841"/>
      <c r="E118" s="841"/>
      <c r="F118" s="841"/>
      <c r="G118" s="841"/>
      <c r="H118" s="841"/>
      <c r="I118" s="841"/>
      <c r="J118" s="841"/>
      <c r="K118" s="841"/>
      <c r="L118" s="841"/>
      <c r="M118" s="841"/>
      <c r="N118" s="841"/>
      <c r="O118" s="841"/>
      <c r="P118" s="841"/>
      <c r="Q118" s="841"/>
      <c r="R118" s="841"/>
      <c r="S118" s="841"/>
      <c r="T118" s="841"/>
      <c r="U118" s="841"/>
      <c r="V118" s="841"/>
      <c r="W118" s="841"/>
      <c r="X118" s="841"/>
      <c r="Y118" s="841"/>
      <c r="Z118" s="841"/>
    </row>
    <row r="119" spans="1:26" ht="12.75" customHeight="1" x14ac:dyDescent="0.3">
      <c r="A119" s="841"/>
      <c r="B119" s="841"/>
      <c r="C119" s="841"/>
      <c r="D119" s="841"/>
      <c r="E119" s="841"/>
      <c r="F119" s="841"/>
      <c r="G119" s="841"/>
      <c r="H119" s="841"/>
      <c r="I119" s="841"/>
      <c r="J119" s="841"/>
      <c r="K119" s="841"/>
      <c r="L119" s="841"/>
      <c r="M119" s="841"/>
      <c r="N119" s="841"/>
      <c r="O119" s="841"/>
      <c r="P119" s="841"/>
      <c r="Q119" s="841"/>
      <c r="R119" s="841"/>
      <c r="S119" s="841"/>
      <c r="T119" s="841"/>
      <c r="U119" s="841"/>
      <c r="V119" s="841"/>
      <c r="W119" s="841"/>
      <c r="X119" s="841"/>
      <c r="Y119" s="841"/>
      <c r="Z119" s="841"/>
    </row>
    <row r="120" spans="1:26" ht="12.75" customHeight="1" x14ac:dyDescent="0.3">
      <c r="A120" s="841"/>
      <c r="B120" s="841"/>
      <c r="C120" s="841"/>
      <c r="D120" s="841"/>
      <c r="E120" s="841"/>
      <c r="F120" s="841"/>
      <c r="G120" s="841"/>
      <c r="H120" s="841"/>
      <c r="I120" s="841"/>
      <c r="J120" s="841"/>
      <c r="K120" s="841"/>
      <c r="L120" s="841"/>
      <c r="M120" s="841"/>
      <c r="N120" s="841"/>
      <c r="O120" s="841"/>
      <c r="P120" s="841"/>
      <c r="Q120" s="841"/>
      <c r="R120" s="841"/>
      <c r="S120" s="841"/>
      <c r="T120" s="841"/>
      <c r="U120" s="841"/>
      <c r="V120" s="841"/>
      <c r="W120" s="841"/>
      <c r="X120" s="841"/>
      <c r="Y120" s="841"/>
      <c r="Z120" s="841"/>
    </row>
    <row r="121" spans="1:26" ht="12.75" customHeight="1" x14ac:dyDescent="0.3">
      <c r="A121" s="841"/>
      <c r="B121" s="841"/>
      <c r="C121" s="841"/>
      <c r="D121" s="841"/>
      <c r="E121" s="841"/>
      <c r="F121" s="841"/>
      <c r="G121" s="841"/>
      <c r="H121" s="841"/>
      <c r="I121" s="841"/>
      <c r="J121" s="841"/>
      <c r="K121" s="841"/>
      <c r="L121" s="841"/>
      <c r="M121" s="841"/>
      <c r="N121" s="841"/>
      <c r="O121" s="841"/>
      <c r="P121" s="841"/>
      <c r="Q121" s="841"/>
      <c r="R121" s="841"/>
      <c r="S121" s="841"/>
      <c r="T121" s="841"/>
      <c r="U121" s="841"/>
      <c r="V121" s="841"/>
      <c r="W121" s="841"/>
      <c r="X121" s="841"/>
      <c r="Y121" s="841"/>
      <c r="Z121" s="841"/>
    </row>
    <row r="122" spans="1:26" ht="12.75" customHeight="1" x14ac:dyDescent="0.3">
      <c r="A122" s="841"/>
      <c r="B122" s="841"/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841"/>
      <c r="O122" s="841"/>
      <c r="P122" s="841"/>
      <c r="Q122" s="841"/>
      <c r="R122" s="841"/>
      <c r="S122" s="841"/>
      <c r="T122" s="841"/>
      <c r="U122" s="841"/>
      <c r="V122" s="841"/>
      <c r="W122" s="841"/>
      <c r="X122" s="841"/>
      <c r="Y122" s="841"/>
      <c r="Z122" s="841"/>
    </row>
    <row r="123" spans="1:26" ht="12.75" customHeight="1" x14ac:dyDescent="0.3">
      <c r="A123" s="841"/>
      <c r="B123" s="841"/>
      <c r="C123" s="841"/>
      <c r="D123" s="841"/>
      <c r="E123" s="841"/>
      <c r="F123" s="841"/>
      <c r="G123" s="841"/>
      <c r="H123" s="841"/>
      <c r="I123" s="841"/>
      <c r="J123" s="841"/>
      <c r="K123" s="841"/>
      <c r="L123" s="841"/>
      <c r="M123" s="841"/>
      <c r="N123" s="841"/>
      <c r="O123" s="841"/>
      <c r="P123" s="841"/>
      <c r="Q123" s="841"/>
      <c r="R123" s="841"/>
      <c r="S123" s="841"/>
      <c r="T123" s="841"/>
      <c r="U123" s="841"/>
      <c r="V123" s="841"/>
      <c r="W123" s="841"/>
      <c r="X123" s="841"/>
      <c r="Y123" s="841"/>
      <c r="Z123" s="841"/>
    </row>
    <row r="124" spans="1:26" ht="12.75" customHeight="1" x14ac:dyDescent="0.3">
      <c r="A124" s="841"/>
      <c r="B124" s="841"/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41"/>
      <c r="Q124" s="841"/>
      <c r="R124" s="841"/>
      <c r="S124" s="841"/>
      <c r="T124" s="841"/>
      <c r="U124" s="841"/>
      <c r="V124" s="841"/>
      <c r="W124" s="841"/>
      <c r="X124" s="841"/>
      <c r="Y124" s="841"/>
      <c r="Z124" s="841"/>
    </row>
    <row r="125" spans="1:26" ht="12.75" customHeight="1" x14ac:dyDescent="0.3">
      <c r="A125" s="841"/>
      <c r="B125" s="841"/>
      <c r="C125" s="841"/>
      <c r="D125" s="841"/>
      <c r="E125" s="841"/>
      <c r="F125" s="841"/>
      <c r="G125" s="841"/>
      <c r="H125" s="841"/>
      <c r="I125" s="841"/>
      <c r="J125" s="841"/>
      <c r="K125" s="841"/>
      <c r="L125" s="841"/>
      <c r="M125" s="841"/>
      <c r="N125" s="841"/>
      <c r="O125" s="841"/>
      <c r="P125" s="841"/>
      <c r="Q125" s="841"/>
      <c r="R125" s="841"/>
      <c r="S125" s="841"/>
      <c r="T125" s="841"/>
      <c r="U125" s="841"/>
      <c r="V125" s="841"/>
      <c r="W125" s="841"/>
      <c r="X125" s="841"/>
      <c r="Y125" s="841"/>
      <c r="Z125" s="841"/>
    </row>
    <row r="126" spans="1:26" ht="12.75" customHeight="1" x14ac:dyDescent="0.3">
      <c r="A126" s="841"/>
      <c r="B126" s="841"/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41"/>
      <c r="W126" s="841"/>
      <c r="X126" s="841"/>
      <c r="Y126" s="841"/>
      <c r="Z126" s="841"/>
    </row>
    <row r="127" spans="1:26" ht="12.75" customHeight="1" x14ac:dyDescent="0.3">
      <c r="A127" s="841"/>
      <c r="B127" s="841"/>
      <c r="C127" s="841"/>
      <c r="D127" s="841"/>
      <c r="E127" s="841"/>
      <c r="F127" s="841"/>
      <c r="G127" s="841"/>
      <c r="H127" s="841"/>
      <c r="I127" s="841"/>
      <c r="J127" s="841"/>
      <c r="K127" s="841"/>
      <c r="L127" s="841"/>
      <c r="M127" s="841"/>
      <c r="N127" s="841"/>
      <c r="O127" s="841"/>
      <c r="P127" s="841"/>
      <c r="Q127" s="841"/>
      <c r="R127" s="841"/>
      <c r="S127" s="841"/>
      <c r="T127" s="841"/>
      <c r="U127" s="841"/>
      <c r="V127" s="841"/>
      <c r="W127" s="841"/>
      <c r="X127" s="841"/>
      <c r="Y127" s="841"/>
      <c r="Z127" s="841"/>
    </row>
    <row r="128" spans="1:26" ht="12.75" customHeight="1" x14ac:dyDescent="0.3">
      <c r="A128" s="841"/>
      <c r="B128" s="841"/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41"/>
      <c r="T128" s="841"/>
      <c r="U128" s="841"/>
      <c r="V128" s="841"/>
      <c r="W128" s="841"/>
      <c r="X128" s="841"/>
      <c r="Y128" s="841"/>
      <c r="Z128" s="841"/>
    </row>
    <row r="129" spans="1:26" ht="12.75" customHeight="1" x14ac:dyDescent="0.3">
      <c r="A129" s="841"/>
      <c r="B129" s="841"/>
      <c r="C129" s="841"/>
      <c r="D129" s="841"/>
      <c r="E129" s="841"/>
      <c r="F129" s="841"/>
      <c r="G129" s="841"/>
      <c r="H129" s="841"/>
      <c r="I129" s="841"/>
      <c r="J129" s="841"/>
      <c r="K129" s="841"/>
      <c r="L129" s="841"/>
      <c r="M129" s="841"/>
      <c r="N129" s="841"/>
      <c r="O129" s="841"/>
      <c r="P129" s="841"/>
      <c r="Q129" s="841"/>
      <c r="R129" s="841"/>
      <c r="S129" s="841"/>
      <c r="T129" s="841"/>
      <c r="U129" s="841"/>
      <c r="V129" s="841"/>
      <c r="W129" s="841"/>
      <c r="X129" s="841"/>
      <c r="Y129" s="841"/>
      <c r="Z129" s="841"/>
    </row>
    <row r="130" spans="1:26" ht="12.75" customHeight="1" x14ac:dyDescent="0.3">
      <c r="A130" s="841"/>
      <c r="B130" s="841"/>
      <c r="C130" s="841"/>
      <c r="D130" s="841"/>
      <c r="E130" s="841"/>
      <c r="F130" s="841"/>
      <c r="G130" s="841"/>
      <c r="H130" s="841"/>
      <c r="I130" s="841"/>
      <c r="J130" s="841"/>
      <c r="K130" s="841"/>
      <c r="L130" s="841"/>
      <c r="M130" s="841"/>
      <c r="N130" s="841"/>
      <c r="O130" s="841"/>
      <c r="P130" s="841"/>
      <c r="Q130" s="841"/>
      <c r="R130" s="841"/>
      <c r="S130" s="841"/>
      <c r="T130" s="841"/>
      <c r="U130" s="841"/>
      <c r="V130" s="841"/>
      <c r="W130" s="841"/>
      <c r="X130" s="841"/>
      <c r="Y130" s="841"/>
      <c r="Z130" s="841"/>
    </row>
    <row r="131" spans="1:26" ht="12.75" customHeight="1" x14ac:dyDescent="0.3">
      <c r="A131" s="841"/>
      <c r="B131" s="841"/>
      <c r="C131" s="841"/>
      <c r="D131" s="841"/>
      <c r="E131" s="841"/>
      <c r="F131" s="841"/>
      <c r="G131" s="841"/>
      <c r="H131" s="841"/>
      <c r="I131" s="841"/>
      <c r="J131" s="841"/>
      <c r="K131" s="841"/>
      <c r="L131" s="841"/>
      <c r="M131" s="841"/>
      <c r="N131" s="841"/>
      <c r="O131" s="841"/>
      <c r="P131" s="841"/>
      <c r="Q131" s="841"/>
      <c r="R131" s="841"/>
      <c r="S131" s="841"/>
      <c r="T131" s="841"/>
      <c r="U131" s="841"/>
      <c r="V131" s="841"/>
      <c r="W131" s="841"/>
      <c r="X131" s="841"/>
      <c r="Y131" s="841"/>
      <c r="Z131" s="841"/>
    </row>
    <row r="132" spans="1:26" ht="12.75" customHeight="1" x14ac:dyDescent="0.3">
      <c r="A132" s="841"/>
      <c r="B132" s="841"/>
      <c r="C132" s="841"/>
      <c r="D132" s="841"/>
      <c r="E132" s="841"/>
      <c r="F132" s="841"/>
      <c r="G132" s="841"/>
      <c r="H132" s="841"/>
      <c r="I132" s="841"/>
      <c r="J132" s="841"/>
      <c r="K132" s="841"/>
      <c r="L132" s="841"/>
      <c r="M132" s="841"/>
      <c r="N132" s="841"/>
      <c r="O132" s="841"/>
      <c r="P132" s="841"/>
      <c r="Q132" s="841"/>
      <c r="R132" s="841"/>
      <c r="S132" s="841"/>
      <c r="T132" s="841"/>
      <c r="U132" s="841"/>
      <c r="V132" s="841"/>
      <c r="W132" s="841"/>
      <c r="X132" s="841"/>
      <c r="Y132" s="841"/>
      <c r="Z132" s="841"/>
    </row>
    <row r="133" spans="1:26" ht="12.75" customHeight="1" x14ac:dyDescent="0.3">
      <c r="A133" s="841"/>
      <c r="B133" s="841"/>
      <c r="C133" s="841"/>
      <c r="D133" s="841"/>
      <c r="E133" s="841"/>
      <c r="F133" s="841"/>
      <c r="G133" s="841"/>
      <c r="H133" s="841"/>
      <c r="I133" s="841"/>
      <c r="J133" s="841"/>
      <c r="K133" s="841"/>
      <c r="L133" s="841"/>
      <c r="M133" s="841"/>
      <c r="N133" s="841"/>
      <c r="O133" s="841"/>
      <c r="P133" s="841"/>
      <c r="Q133" s="841"/>
      <c r="R133" s="841"/>
      <c r="S133" s="841"/>
      <c r="T133" s="841"/>
      <c r="U133" s="841"/>
      <c r="V133" s="841"/>
      <c r="W133" s="841"/>
      <c r="X133" s="841"/>
      <c r="Y133" s="841"/>
      <c r="Z133" s="841"/>
    </row>
    <row r="134" spans="1:26" ht="12.75" customHeight="1" x14ac:dyDescent="0.3">
      <c r="A134" s="841"/>
      <c r="B134" s="841"/>
      <c r="C134" s="841"/>
      <c r="D134" s="841"/>
      <c r="E134" s="841"/>
      <c r="F134" s="841"/>
      <c r="G134" s="841"/>
      <c r="H134" s="841"/>
      <c r="I134" s="841"/>
      <c r="J134" s="841"/>
      <c r="K134" s="841"/>
      <c r="L134" s="841"/>
      <c r="M134" s="841"/>
      <c r="N134" s="841"/>
      <c r="O134" s="841"/>
      <c r="P134" s="841"/>
      <c r="Q134" s="841"/>
      <c r="R134" s="841"/>
      <c r="S134" s="841"/>
      <c r="T134" s="841"/>
      <c r="U134" s="841"/>
      <c r="V134" s="841"/>
      <c r="W134" s="841"/>
      <c r="X134" s="841"/>
      <c r="Y134" s="841"/>
      <c r="Z134" s="841"/>
    </row>
    <row r="135" spans="1:26" ht="12.75" customHeight="1" x14ac:dyDescent="0.3">
      <c r="A135" s="841"/>
      <c r="B135" s="841"/>
      <c r="C135" s="841"/>
      <c r="D135" s="841"/>
      <c r="E135" s="841"/>
      <c r="F135" s="841"/>
      <c r="G135" s="841"/>
      <c r="H135" s="841"/>
      <c r="I135" s="841"/>
      <c r="J135" s="841"/>
      <c r="K135" s="841"/>
      <c r="L135" s="841"/>
      <c r="M135" s="841"/>
      <c r="N135" s="841"/>
      <c r="O135" s="841"/>
      <c r="P135" s="841"/>
      <c r="Q135" s="841"/>
      <c r="R135" s="841"/>
      <c r="S135" s="841"/>
      <c r="T135" s="841"/>
      <c r="U135" s="841"/>
      <c r="V135" s="841"/>
      <c r="W135" s="841"/>
      <c r="X135" s="841"/>
      <c r="Y135" s="841"/>
      <c r="Z135" s="841"/>
    </row>
    <row r="136" spans="1:26" ht="12.75" customHeight="1" x14ac:dyDescent="0.3">
      <c r="A136" s="841"/>
      <c r="B136" s="841"/>
      <c r="C136" s="841"/>
      <c r="D136" s="841"/>
      <c r="E136" s="841"/>
      <c r="F136" s="841"/>
      <c r="G136" s="841"/>
      <c r="H136" s="841"/>
      <c r="I136" s="841"/>
      <c r="J136" s="841"/>
      <c r="K136" s="841"/>
      <c r="L136" s="841"/>
      <c r="M136" s="841"/>
      <c r="N136" s="841"/>
      <c r="O136" s="841"/>
      <c r="P136" s="841"/>
      <c r="Q136" s="841"/>
      <c r="R136" s="841"/>
      <c r="S136" s="841"/>
      <c r="T136" s="841"/>
      <c r="U136" s="841"/>
      <c r="V136" s="841"/>
      <c r="W136" s="841"/>
      <c r="X136" s="841"/>
      <c r="Y136" s="841"/>
      <c r="Z136" s="841"/>
    </row>
    <row r="137" spans="1:26" ht="12.75" customHeight="1" x14ac:dyDescent="0.3">
      <c r="A137" s="841"/>
      <c r="B137" s="841"/>
      <c r="C137" s="841"/>
      <c r="D137" s="841"/>
      <c r="E137" s="841"/>
      <c r="F137" s="841"/>
      <c r="G137" s="841"/>
      <c r="H137" s="841"/>
      <c r="I137" s="841"/>
      <c r="J137" s="841"/>
      <c r="K137" s="841"/>
      <c r="L137" s="841"/>
      <c r="M137" s="841"/>
      <c r="N137" s="841"/>
      <c r="O137" s="841"/>
      <c r="P137" s="841"/>
      <c r="Q137" s="841"/>
      <c r="R137" s="841"/>
      <c r="S137" s="841"/>
      <c r="T137" s="841"/>
      <c r="U137" s="841"/>
      <c r="V137" s="841"/>
      <c r="W137" s="841"/>
      <c r="X137" s="841"/>
      <c r="Y137" s="841"/>
      <c r="Z137" s="841"/>
    </row>
    <row r="138" spans="1:26" ht="12.75" customHeight="1" x14ac:dyDescent="0.3">
      <c r="A138" s="841"/>
      <c r="B138" s="841"/>
      <c r="C138" s="841"/>
      <c r="D138" s="841"/>
      <c r="E138" s="841"/>
      <c r="F138" s="841"/>
      <c r="G138" s="841"/>
      <c r="H138" s="841"/>
      <c r="I138" s="841"/>
      <c r="J138" s="841"/>
      <c r="K138" s="841"/>
      <c r="L138" s="841"/>
      <c r="M138" s="841"/>
      <c r="N138" s="841"/>
      <c r="O138" s="841"/>
      <c r="P138" s="841"/>
      <c r="Q138" s="841"/>
      <c r="R138" s="841"/>
      <c r="S138" s="841"/>
      <c r="T138" s="841"/>
      <c r="U138" s="841"/>
      <c r="V138" s="841"/>
      <c r="W138" s="841"/>
      <c r="X138" s="841"/>
      <c r="Y138" s="841"/>
      <c r="Z138" s="841"/>
    </row>
    <row r="139" spans="1:26" ht="12.75" customHeight="1" x14ac:dyDescent="0.3">
      <c r="A139" s="841"/>
      <c r="B139" s="841"/>
      <c r="C139" s="841"/>
      <c r="D139" s="841"/>
      <c r="E139" s="841"/>
      <c r="F139" s="841"/>
      <c r="G139" s="841"/>
      <c r="H139" s="841"/>
      <c r="I139" s="841"/>
      <c r="J139" s="841"/>
      <c r="K139" s="841"/>
      <c r="L139" s="841"/>
      <c r="M139" s="841"/>
      <c r="N139" s="841"/>
      <c r="O139" s="841"/>
      <c r="P139" s="841"/>
      <c r="Q139" s="841"/>
      <c r="R139" s="841"/>
      <c r="S139" s="841"/>
      <c r="T139" s="841"/>
      <c r="U139" s="841"/>
      <c r="V139" s="841"/>
      <c r="W139" s="841"/>
      <c r="X139" s="841"/>
      <c r="Y139" s="841"/>
      <c r="Z139" s="841"/>
    </row>
    <row r="140" spans="1:26" ht="12.75" customHeight="1" x14ac:dyDescent="0.3">
      <c r="A140" s="841"/>
      <c r="B140" s="841"/>
      <c r="C140" s="841"/>
      <c r="D140" s="841"/>
      <c r="E140" s="841"/>
      <c r="F140" s="841"/>
      <c r="G140" s="841"/>
      <c r="H140" s="841"/>
      <c r="I140" s="841"/>
      <c r="J140" s="841"/>
      <c r="K140" s="841"/>
      <c r="L140" s="841"/>
      <c r="M140" s="841"/>
      <c r="N140" s="841"/>
      <c r="O140" s="841"/>
      <c r="P140" s="841"/>
      <c r="Q140" s="841"/>
      <c r="R140" s="841"/>
      <c r="S140" s="841"/>
      <c r="T140" s="841"/>
      <c r="U140" s="841"/>
      <c r="V140" s="841"/>
      <c r="W140" s="841"/>
      <c r="X140" s="841"/>
      <c r="Y140" s="841"/>
      <c r="Z140" s="841"/>
    </row>
    <row r="141" spans="1:26" ht="12.75" customHeight="1" x14ac:dyDescent="0.3">
      <c r="A141" s="841"/>
      <c r="B141" s="841"/>
      <c r="C141" s="841"/>
      <c r="D141" s="841"/>
      <c r="E141" s="841"/>
      <c r="F141" s="841"/>
      <c r="G141" s="841"/>
      <c r="H141" s="841"/>
      <c r="I141" s="841"/>
      <c r="J141" s="841"/>
      <c r="K141" s="841"/>
      <c r="L141" s="841"/>
      <c r="M141" s="841"/>
      <c r="N141" s="841"/>
      <c r="O141" s="841"/>
      <c r="P141" s="841"/>
      <c r="Q141" s="841"/>
      <c r="R141" s="841"/>
      <c r="S141" s="841"/>
      <c r="T141" s="841"/>
      <c r="U141" s="841"/>
      <c r="V141" s="841"/>
      <c r="W141" s="841"/>
      <c r="X141" s="841"/>
      <c r="Y141" s="841"/>
      <c r="Z141" s="841"/>
    </row>
    <row r="142" spans="1:26" ht="12.75" customHeight="1" x14ac:dyDescent="0.3">
      <c r="A142" s="841"/>
      <c r="B142" s="841"/>
      <c r="C142" s="841"/>
      <c r="D142" s="841"/>
      <c r="E142" s="841"/>
      <c r="F142" s="841"/>
      <c r="G142" s="841"/>
      <c r="H142" s="841"/>
      <c r="I142" s="841"/>
      <c r="J142" s="841"/>
      <c r="K142" s="841"/>
      <c r="L142" s="841"/>
      <c r="M142" s="841"/>
      <c r="N142" s="841"/>
      <c r="O142" s="841"/>
      <c r="P142" s="841"/>
      <c r="Q142" s="841"/>
      <c r="R142" s="841"/>
      <c r="S142" s="841"/>
      <c r="T142" s="841"/>
      <c r="U142" s="841"/>
      <c r="V142" s="841"/>
      <c r="W142" s="841"/>
      <c r="X142" s="841"/>
      <c r="Y142" s="841"/>
      <c r="Z142" s="841"/>
    </row>
    <row r="143" spans="1:26" ht="12.75" customHeight="1" x14ac:dyDescent="0.3">
      <c r="A143" s="841"/>
      <c r="B143" s="841"/>
      <c r="C143" s="841"/>
      <c r="D143" s="841"/>
      <c r="E143" s="841"/>
      <c r="F143" s="841"/>
      <c r="G143" s="841"/>
      <c r="H143" s="841"/>
      <c r="I143" s="841"/>
      <c r="J143" s="841"/>
      <c r="K143" s="841"/>
      <c r="L143" s="841"/>
      <c r="M143" s="841"/>
      <c r="N143" s="841"/>
      <c r="O143" s="841"/>
      <c r="P143" s="841"/>
      <c r="Q143" s="841"/>
      <c r="R143" s="841"/>
      <c r="S143" s="841"/>
      <c r="T143" s="841"/>
      <c r="U143" s="841"/>
      <c r="V143" s="841"/>
      <c r="W143" s="841"/>
      <c r="X143" s="841"/>
      <c r="Y143" s="841"/>
      <c r="Z143" s="841"/>
    </row>
    <row r="144" spans="1:26" ht="12.75" customHeight="1" x14ac:dyDescent="0.3">
      <c r="A144" s="841"/>
      <c r="B144" s="841"/>
      <c r="C144" s="841"/>
      <c r="D144" s="841"/>
      <c r="E144" s="841"/>
      <c r="F144" s="841"/>
      <c r="G144" s="841"/>
      <c r="H144" s="841"/>
      <c r="I144" s="841"/>
      <c r="J144" s="841"/>
      <c r="K144" s="841"/>
      <c r="L144" s="841"/>
      <c r="M144" s="841"/>
      <c r="N144" s="841"/>
      <c r="O144" s="841"/>
      <c r="P144" s="841"/>
      <c r="Q144" s="841"/>
      <c r="R144" s="841"/>
      <c r="S144" s="841"/>
      <c r="T144" s="841"/>
      <c r="U144" s="841"/>
      <c r="V144" s="841"/>
      <c r="W144" s="841"/>
      <c r="X144" s="841"/>
      <c r="Y144" s="841"/>
      <c r="Z144" s="841"/>
    </row>
    <row r="145" spans="1:26" ht="12.75" customHeight="1" x14ac:dyDescent="0.3">
      <c r="A145" s="841"/>
      <c r="B145" s="841"/>
      <c r="C145" s="841"/>
      <c r="D145" s="841"/>
      <c r="E145" s="841"/>
      <c r="F145" s="841"/>
      <c r="G145" s="841"/>
      <c r="H145" s="841"/>
      <c r="I145" s="841"/>
      <c r="J145" s="841"/>
      <c r="K145" s="841"/>
      <c r="L145" s="841"/>
      <c r="M145" s="841"/>
      <c r="N145" s="841"/>
      <c r="O145" s="841"/>
      <c r="P145" s="841"/>
      <c r="Q145" s="841"/>
      <c r="R145" s="841"/>
      <c r="S145" s="841"/>
      <c r="T145" s="841"/>
      <c r="U145" s="841"/>
      <c r="V145" s="841"/>
      <c r="W145" s="841"/>
      <c r="X145" s="841"/>
      <c r="Y145" s="841"/>
      <c r="Z145" s="841"/>
    </row>
    <row r="146" spans="1:26" ht="12.75" customHeight="1" x14ac:dyDescent="0.3">
      <c r="A146" s="841"/>
      <c r="B146" s="841"/>
      <c r="C146" s="841"/>
      <c r="D146" s="841"/>
      <c r="E146" s="841"/>
      <c r="F146" s="841"/>
      <c r="G146" s="841"/>
      <c r="H146" s="841"/>
      <c r="I146" s="841"/>
      <c r="J146" s="841"/>
      <c r="K146" s="841"/>
      <c r="L146" s="841"/>
      <c r="M146" s="841"/>
      <c r="N146" s="841"/>
      <c r="O146" s="841"/>
      <c r="P146" s="841"/>
      <c r="Q146" s="841"/>
      <c r="R146" s="841"/>
      <c r="S146" s="841"/>
      <c r="T146" s="841"/>
      <c r="U146" s="841"/>
      <c r="V146" s="841"/>
      <c r="W146" s="841"/>
      <c r="X146" s="841"/>
      <c r="Y146" s="841"/>
      <c r="Z146" s="841"/>
    </row>
    <row r="147" spans="1:26" ht="12.75" customHeight="1" x14ac:dyDescent="0.3">
      <c r="A147" s="841"/>
      <c r="B147" s="841"/>
      <c r="C147" s="841"/>
      <c r="D147" s="841"/>
      <c r="E147" s="841"/>
      <c r="F147" s="841"/>
      <c r="G147" s="841"/>
      <c r="H147" s="841"/>
      <c r="I147" s="841"/>
      <c r="J147" s="841"/>
      <c r="K147" s="841"/>
      <c r="L147" s="841"/>
      <c r="M147" s="841"/>
      <c r="N147" s="841"/>
      <c r="O147" s="841"/>
      <c r="P147" s="841"/>
      <c r="Q147" s="841"/>
      <c r="R147" s="841"/>
      <c r="S147" s="841"/>
      <c r="T147" s="841"/>
      <c r="U147" s="841"/>
      <c r="V147" s="841"/>
      <c r="W147" s="841"/>
      <c r="X147" s="841"/>
      <c r="Y147" s="841"/>
      <c r="Z147" s="841"/>
    </row>
    <row r="148" spans="1:26" ht="12.75" customHeight="1" x14ac:dyDescent="0.3">
      <c r="A148" s="841"/>
      <c r="B148" s="841"/>
      <c r="C148" s="841"/>
      <c r="D148" s="841"/>
      <c r="E148" s="841"/>
      <c r="F148" s="841"/>
      <c r="G148" s="841"/>
      <c r="H148" s="841"/>
      <c r="I148" s="841"/>
      <c r="J148" s="841"/>
      <c r="K148" s="841"/>
      <c r="L148" s="841"/>
      <c r="M148" s="841"/>
      <c r="N148" s="841"/>
      <c r="O148" s="841"/>
      <c r="P148" s="841"/>
      <c r="Q148" s="841"/>
      <c r="R148" s="841"/>
      <c r="S148" s="841"/>
      <c r="T148" s="841"/>
      <c r="U148" s="841"/>
      <c r="V148" s="841"/>
      <c r="W148" s="841"/>
      <c r="X148" s="841"/>
      <c r="Y148" s="841"/>
      <c r="Z148" s="841"/>
    </row>
    <row r="149" spans="1:26" ht="12.75" customHeight="1" x14ac:dyDescent="0.3">
      <c r="A149" s="841"/>
      <c r="B149" s="841"/>
      <c r="C149" s="841"/>
      <c r="D149" s="841"/>
      <c r="E149" s="841"/>
      <c r="F149" s="841"/>
      <c r="G149" s="841"/>
      <c r="H149" s="841"/>
      <c r="I149" s="841"/>
      <c r="J149" s="841"/>
      <c r="K149" s="841"/>
      <c r="L149" s="841"/>
      <c r="M149" s="841"/>
      <c r="N149" s="841"/>
      <c r="O149" s="841"/>
      <c r="P149" s="841"/>
      <c r="Q149" s="841"/>
      <c r="R149" s="841"/>
      <c r="S149" s="841"/>
      <c r="T149" s="841"/>
      <c r="U149" s="841"/>
      <c r="V149" s="841"/>
      <c r="W149" s="841"/>
      <c r="X149" s="841"/>
      <c r="Y149" s="841"/>
      <c r="Z149" s="841"/>
    </row>
    <row r="150" spans="1:26" ht="12.75" customHeight="1" x14ac:dyDescent="0.3">
      <c r="A150" s="841"/>
      <c r="B150" s="841"/>
      <c r="C150" s="841"/>
      <c r="D150" s="841"/>
      <c r="E150" s="841"/>
      <c r="F150" s="841"/>
      <c r="G150" s="841"/>
      <c r="H150" s="841"/>
      <c r="I150" s="841"/>
      <c r="J150" s="841"/>
      <c r="K150" s="841"/>
      <c r="L150" s="841"/>
      <c r="M150" s="841"/>
      <c r="N150" s="841"/>
      <c r="O150" s="841"/>
      <c r="P150" s="841"/>
      <c r="Q150" s="841"/>
      <c r="R150" s="841"/>
      <c r="S150" s="841"/>
      <c r="T150" s="841"/>
      <c r="U150" s="841"/>
      <c r="V150" s="841"/>
      <c r="W150" s="841"/>
      <c r="X150" s="841"/>
      <c r="Y150" s="841"/>
      <c r="Z150" s="841"/>
    </row>
    <row r="151" spans="1:26" ht="12.75" customHeight="1" x14ac:dyDescent="0.3">
      <c r="A151" s="841"/>
      <c r="B151" s="841"/>
      <c r="C151" s="841"/>
      <c r="D151" s="841"/>
      <c r="E151" s="841"/>
      <c r="F151" s="841"/>
      <c r="G151" s="841"/>
      <c r="H151" s="841"/>
      <c r="I151" s="841"/>
      <c r="J151" s="841"/>
      <c r="K151" s="841"/>
      <c r="L151" s="841"/>
      <c r="M151" s="841"/>
      <c r="N151" s="841"/>
      <c r="O151" s="841"/>
      <c r="P151" s="841"/>
      <c r="Q151" s="841"/>
      <c r="R151" s="841"/>
      <c r="S151" s="841"/>
      <c r="T151" s="841"/>
      <c r="U151" s="841"/>
      <c r="V151" s="841"/>
      <c r="W151" s="841"/>
      <c r="X151" s="841"/>
      <c r="Y151" s="841"/>
      <c r="Z151" s="841"/>
    </row>
    <row r="152" spans="1:26" ht="12.75" customHeight="1" x14ac:dyDescent="0.3">
      <c r="A152" s="841"/>
      <c r="B152" s="841"/>
      <c r="C152" s="841"/>
      <c r="D152" s="841"/>
      <c r="E152" s="841"/>
      <c r="F152" s="841"/>
      <c r="G152" s="841"/>
      <c r="H152" s="841"/>
      <c r="I152" s="841"/>
      <c r="J152" s="841"/>
      <c r="K152" s="841"/>
      <c r="L152" s="841"/>
      <c r="M152" s="841"/>
      <c r="N152" s="841"/>
      <c r="O152" s="841"/>
      <c r="P152" s="841"/>
      <c r="Q152" s="841"/>
      <c r="R152" s="841"/>
      <c r="S152" s="841"/>
      <c r="T152" s="841"/>
      <c r="U152" s="841"/>
      <c r="V152" s="841"/>
      <c r="W152" s="841"/>
      <c r="X152" s="841"/>
      <c r="Y152" s="841"/>
      <c r="Z152" s="841"/>
    </row>
    <row r="153" spans="1:26" ht="12.75" customHeight="1" x14ac:dyDescent="0.3">
      <c r="A153" s="841"/>
      <c r="B153" s="841"/>
      <c r="C153" s="841"/>
      <c r="D153" s="841"/>
      <c r="E153" s="841"/>
      <c r="F153" s="841"/>
      <c r="G153" s="841"/>
      <c r="H153" s="841"/>
      <c r="I153" s="841"/>
      <c r="J153" s="841"/>
      <c r="K153" s="841"/>
      <c r="L153" s="841"/>
      <c r="M153" s="841"/>
      <c r="N153" s="841"/>
      <c r="O153" s="841"/>
      <c r="P153" s="841"/>
      <c r="Q153" s="841"/>
      <c r="R153" s="841"/>
      <c r="S153" s="841"/>
      <c r="T153" s="841"/>
      <c r="U153" s="841"/>
      <c r="V153" s="841"/>
      <c r="W153" s="841"/>
      <c r="X153" s="841"/>
      <c r="Y153" s="841"/>
      <c r="Z153" s="841"/>
    </row>
    <row r="154" spans="1:26" ht="12.75" customHeight="1" x14ac:dyDescent="0.3">
      <c r="A154" s="841"/>
      <c r="B154" s="841"/>
      <c r="C154" s="841"/>
      <c r="D154" s="841"/>
      <c r="E154" s="841"/>
      <c r="F154" s="841"/>
      <c r="G154" s="841"/>
      <c r="H154" s="841"/>
      <c r="I154" s="841"/>
      <c r="J154" s="841"/>
      <c r="K154" s="841"/>
      <c r="L154" s="841"/>
      <c r="M154" s="841"/>
      <c r="N154" s="841"/>
      <c r="O154" s="841"/>
      <c r="P154" s="841"/>
      <c r="Q154" s="841"/>
      <c r="R154" s="841"/>
      <c r="S154" s="841"/>
      <c r="T154" s="841"/>
      <c r="U154" s="841"/>
      <c r="V154" s="841"/>
      <c r="W154" s="841"/>
      <c r="X154" s="841"/>
      <c r="Y154" s="841"/>
      <c r="Z154" s="841"/>
    </row>
    <row r="155" spans="1:26" ht="12.75" customHeight="1" x14ac:dyDescent="0.3">
      <c r="A155" s="841"/>
      <c r="B155" s="841"/>
      <c r="C155" s="841"/>
      <c r="D155" s="841"/>
      <c r="E155" s="841"/>
      <c r="F155" s="841"/>
      <c r="G155" s="841"/>
      <c r="H155" s="841"/>
      <c r="I155" s="841"/>
      <c r="J155" s="841"/>
      <c r="K155" s="841"/>
      <c r="L155" s="841"/>
      <c r="M155" s="841"/>
      <c r="N155" s="841"/>
      <c r="O155" s="841"/>
      <c r="P155" s="841"/>
      <c r="Q155" s="841"/>
      <c r="R155" s="841"/>
      <c r="S155" s="841"/>
      <c r="T155" s="841"/>
      <c r="U155" s="841"/>
      <c r="V155" s="841"/>
      <c r="W155" s="841"/>
      <c r="X155" s="841"/>
      <c r="Y155" s="841"/>
      <c r="Z155" s="841"/>
    </row>
    <row r="156" spans="1:26" ht="12.75" customHeight="1" x14ac:dyDescent="0.3">
      <c r="A156" s="841"/>
      <c r="B156" s="841"/>
      <c r="C156" s="841"/>
      <c r="D156" s="841"/>
      <c r="E156" s="841"/>
      <c r="F156" s="841"/>
      <c r="G156" s="841"/>
      <c r="H156" s="841"/>
      <c r="I156" s="841"/>
      <c r="J156" s="841"/>
      <c r="K156" s="841"/>
      <c r="L156" s="841"/>
      <c r="M156" s="841"/>
      <c r="N156" s="841"/>
      <c r="O156" s="841"/>
      <c r="P156" s="841"/>
      <c r="Q156" s="841"/>
      <c r="R156" s="841"/>
      <c r="S156" s="841"/>
      <c r="T156" s="841"/>
      <c r="U156" s="841"/>
      <c r="V156" s="841"/>
      <c r="W156" s="841"/>
      <c r="X156" s="841"/>
      <c r="Y156" s="841"/>
      <c r="Z156" s="841"/>
    </row>
    <row r="157" spans="1:26" ht="12.75" customHeight="1" x14ac:dyDescent="0.3">
      <c r="A157" s="841"/>
      <c r="B157" s="841"/>
      <c r="C157" s="841"/>
      <c r="D157" s="841"/>
      <c r="E157" s="841"/>
      <c r="F157" s="841"/>
      <c r="G157" s="841"/>
      <c r="H157" s="841"/>
      <c r="I157" s="841"/>
      <c r="J157" s="841"/>
      <c r="K157" s="841"/>
      <c r="L157" s="841"/>
      <c r="M157" s="841"/>
      <c r="N157" s="841"/>
      <c r="O157" s="841"/>
      <c r="P157" s="841"/>
      <c r="Q157" s="841"/>
      <c r="R157" s="841"/>
      <c r="S157" s="841"/>
      <c r="T157" s="841"/>
      <c r="U157" s="841"/>
      <c r="V157" s="841"/>
      <c r="W157" s="841"/>
      <c r="X157" s="841"/>
      <c r="Y157" s="841"/>
      <c r="Z157" s="841"/>
    </row>
    <row r="158" spans="1:26" ht="12.75" customHeight="1" x14ac:dyDescent="0.3">
      <c r="A158" s="841"/>
      <c r="B158" s="841"/>
      <c r="C158" s="841"/>
      <c r="D158" s="841"/>
      <c r="E158" s="841"/>
      <c r="F158" s="841"/>
      <c r="G158" s="841"/>
      <c r="H158" s="841"/>
      <c r="I158" s="841"/>
      <c r="J158" s="841"/>
      <c r="K158" s="841"/>
      <c r="L158" s="841"/>
      <c r="M158" s="841"/>
      <c r="N158" s="841"/>
      <c r="O158" s="841"/>
      <c r="P158" s="841"/>
      <c r="Q158" s="841"/>
      <c r="R158" s="841"/>
      <c r="S158" s="841"/>
      <c r="T158" s="841"/>
      <c r="U158" s="841"/>
      <c r="V158" s="841"/>
      <c r="W158" s="841"/>
      <c r="X158" s="841"/>
      <c r="Y158" s="841"/>
      <c r="Z158" s="841"/>
    </row>
    <row r="159" spans="1:26" ht="12.75" customHeight="1" x14ac:dyDescent="0.3">
      <c r="A159" s="841"/>
      <c r="B159" s="841"/>
      <c r="C159" s="841"/>
      <c r="D159" s="841"/>
      <c r="E159" s="841"/>
      <c r="F159" s="841"/>
      <c r="G159" s="841"/>
      <c r="H159" s="841"/>
      <c r="I159" s="841"/>
      <c r="J159" s="841"/>
      <c r="K159" s="841"/>
      <c r="L159" s="841"/>
      <c r="M159" s="841"/>
      <c r="N159" s="841"/>
      <c r="O159" s="841"/>
      <c r="P159" s="841"/>
      <c r="Q159" s="841"/>
      <c r="R159" s="841"/>
      <c r="S159" s="841"/>
      <c r="T159" s="841"/>
      <c r="U159" s="841"/>
      <c r="V159" s="841"/>
      <c r="W159" s="841"/>
      <c r="X159" s="841"/>
      <c r="Y159" s="841"/>
      <c r="Z159" s="841"/>
    </row>
    <row r="160" spans="1:26" ht="12.75" customHeight="1" x14ac:dyDescent="0.3">
      <c r="A160" s="841"/>
      <c r="B160" s="841"/>
      <c r="C160" s="841"/>
      <c r="D160" s="841"/>
      <c r="E160" s="841"/>
      <c r="F160" s="841"/>
      <c r="G160" s="841"/>
      <c r="H160" s="841"/>
      <c r="I160" s="841"/>
      <c r="J160" s="841"/>
      <c r="K160" s="841"/>
      <c r="L160" s="841"/>
      <c r="M160" s="841"/>
      <c r="N160" s="841"/>
      <c r="O160" s="841"/>
      <c r="P160" s="841"/>
      <c r="Q160" s="841"/>
      <c r="R160" s="841"/>
      <c r="S160" s="841"/>
      <c r="T160" s="841"/>
      <c r="U160" s="841"/>
      <c r="V160" s="841"/>
      <c r="W160" s="841"/>
      <c r="X160" s="841"/>
      <c r="Y160" s="841"/>
      <c r="Z160" s="841"/>
    </row>
    <row r="161" spans="1:26" ht="12.75" customHeight="1" x14ac:dyDescent="0.3">
      <c r="A161" s="841"/>
      <c r="B161" s="841"/>
      <c r="C161" s="841"/>
      <c r="D161" s="841"/>
      <c r="E161" s="841"/>
      <c r="F161" s="841"/>
      <c r="G161" s="841"/>
      <c r="H161" s="841"/>
      <c r="I161" s="841"/>
      <c r="J161" s="841"/>
      <c r="K161" s="841"/>
      <c r="L161" s="841"/>
      <c r="M161" s="841"/>
      <c r="N161" s="841"/>
      <c r="O161" s="841"/>
      <c r="P161" s="841"/>
      <c r="Q161" s="841"/>
      <c r="R161" s="841"/>
      <c r="S161" s="841"/>
      <c r="T161" s="841"/>
      <c r="U161" s="841"/>
      <c r="V161" s="841"/>
      <c r="W161" s="841"/>
      <c r="X161" s="841"/>
      <c r="Y161" s="841"/>
      <c r="Z161" s="841"/>
    </row>
    <row r="162" spans="1:26" ht="12.75" customHeight="1" x14ac:dyDescent="0.3">
      <c r="A162" s="841"/>
      <c r="B162" s="841"/>
      <c r="C162" s="841"/>
      <c r="D162" s="841"/>
      <c r="E162" s="841"/>
      <c r="F162" s="841"/>
      <c r="G162" s="841"/>
      <c r="H162" s="841"/>
      <c r="I162" s="841"/>
      <c r="J162" s="841"/>
      <c r="K162" s="841"/>
      <c r="L162" s="841"/>
      <c r="M162" s="841"/>
      <c r="N162" s="841"/>
      <c r="O162" s="841"/>
      <c r="P162" s="841"/>
      <c r="Q162" s="841"/>
      <c r="R162" s="841"/>
      <c r="S162" s="841"/>
      <c r="T162" s="841"/>
      <c r="U162" s="841"/>
      <c r="V162" s="841"/>
      <c r="W162" s="841"/>
      <c r="X162" s="841"/>
      <c r="Y162" s="841"/>
      <c r="Z162" s="841"/>
    </row>
    <row r="163" spans="1:26" ht="12.75" customHeight="1" x14ac:dyDescent="0.3">
      <c r="A163" s="841"/>
      <c r="B163" s="841"/>
      <c r="C163" s="841"/>
      <c r="D163" s="841"/>
      <c r="E163" s="841"/>
      <c r="F163" s="841"/>
      <c r="G163" s="841"/>
      <c r="H163" s="841"/>
      <c r="I163" s="841"/>
      <c r="J163" s="841"/>
      <c r="K163" s="841"/>
      <c r="L163" s="841"/>
      <c r="M163" s="841"/>
      <c r="N163" s="841"/>
      <c r="O163" s="841"/>
      <c r="P163" s="841"/>
      <c r="Q163" s="841"/>
      <c r="R163" s="841"/>
      <c r="S163" s="841"/>
      <c r="T163" s="841"/>
      <c r="U163" s="841"/>
      <c r="V163" s="841"/>
      <c r="W163" s="841"/>
      <c r="X163" s="841"/>
      <c r="Y163" s="841"/>
      <c r="Z163" s="841"/>
    </row>
    <row r="164" spans="1:26" ht="12.75" customHeight="1" x14ac:dyDescent="0.3">
      <c r="A164" s="841"/>
      <c r="B164" s="841"/>
      <c r="C164" s="841"/>
      <c r="D164" s="841"/>
      <c r="E164" s="841"/>
      <c r="F164" s="841"/>
      <c r="G164" s="841"/>
      <c r="H164" s="841"/>
      <c r="I164" s="841"/>
      <c r="J164" s="841"/>
      <c r="K164" s="841"/>
      <c r="L164" s="841"/>
      <c r="M164" s="841"/>
      <c r="N164" s="841"/>
      <c r="O164" s="841"/>
      <c r="P164" s="841"/>
      <c r="Q164" s="841"/>
      <c r="R164" s="841"/>
      <c r="S164" s="841"/>
      <c r="T164" s="841"/>
      <c r="U164" s="841"/>
      <c r="V164" s="841"/>
      <c r="W164" s="841"/>
      <c r="X164" s="841"/>
      <c r="Y164" s="841"/>
      <c r="Z164" s="841"/>
    </row>
    <row r="165" spans="1:26" ht="12.75" customHeight="1" x14ac:dyDescent="0.3">
      <c r="A165" s="841"/>
      <c r="B165" s="841"/>
      <c r="C165" s="841"/>
      <c r="D165" s="841"/>
      <c r="E165" s="841"/>
      <c r="F165" s="841"/>
      <c r="G165" s="841"/>
      <c r="H165" s="841"/>
      <c r="I165" s="841"/>
      <c r="J165" s="841"/>
      <c r="K165" s="841"/>
      <c r="L165" s="841"/>
      <c r="M165" s="841"/>
      <c r="N165" s="841"/>
      <c r="O165" s="841"/>
      <c r="P165" s="841"/>
      <c r="Q165" s="841"/>
      <c r="R165" s="841"/>
      <c r="S165" s="841"/>
      <c r="T165" s="841"/>
      <c r="U165" s="841"/>
      <c r="V165" s="841"/>
      <c r="W165" s="841"/>
      <c r="X165" s="841"/>
      <c r="Y165" s="841"/>
      <c r="Z165" s="841"/>
    </row>
    <row r="166" spans="1:26" ht="12.75" customHeight="1" x14ac:dyDescent="0.3">
      <c r="A166" s="841"/>
      <c r="B166" s="841"/>
      <c r="C166" s="841"/>
      <c r="D166" s="841"/>
      <c r="E166" s="841"/>
      <c r="F166" s="841"/>
      <c r="G166" s="841"/>
      <c r="H166" s="841"/>
      <c r="I166" s="841"/>
      <c r="J166" s="841"/>
      <c r="K166" s="841"/>
      <c r="L166" s="841"/>
      <c r="M166" s="841"/>
      <c r="N166" s="841"/>
      <c r="O166" s="841"/>
      <c r="P166" s="841"/>
      <c r="Q166" s="841"/>
      <c r="R166" s="841"/>
      <c r="S166" s="841"/>
      <c r="T166" s="841"/>
      <c r="U166" s="841"/>
      <c r="V166" s="841"/>
      <c r="W166" s="841"/>
      <c r="X166" s="841"/>
      <c r="Y166" s="841"/>
      <c r="Z166" s="841"/>
    </row>
    <row r="167" spans="1:26" ht="12.75" customHeight="1" x14ac:dyDescent="0.3">
      <c r="A167" s="841"/>
      <c r="B167" s="841"/>
      <c r="C167" s="841"/>
      <c r="D167" s="841"/>
      <c r="E167" s="841"/>
      <c r="F167" s="841"/>
      <c r="G167" s="841"/>
      <c r="H167" s="841"/>
      <c r="I167" s="841"/>
      <c r="J167" s="841"/>
      <c r="K167" s="841"/>
      <c r="L167" s="841"/>
      <c r="M167" s="841"/>
      <c r="N167" s="841"/>
      <c r="O167" s="841"/>
      <c r="P167" s="841"/>
      <c r="Q167" s="841"/>
      <c r="R167" s="841"/>
      <c r="S167" s="841"/>
      <c r="T167" s="841"/>
      <c r="U167" s="841"/>
      <c r="V167" s="841"/>
      <c r="W167" s="841"/>
      <c r="X167" s="841"/>
      <c r="Y167" s="841"/>
      <c r="Z167" s="841"/>
    </row>
    <row r="168" spans="1:26" ht="12.75" customHeight="1" x14ac:dyDescent="0.3">
      <c r="A168" s="841"/>
      <c r="B168" s="841"/>
      <c r="C168" s="841"/>
      <c r="D168" s="841"/>
      <c r="E168" s="841"/>
      <c r="F168" s="841"/>
      <c r="G168" s="841"/>
      <c r="H168" s="841"/>
      <c r="I168" s="841"/>
      <c r="J168" s="841"/>
      <c r="K168" s="841"/>
      <c r="L168" s="841"/>
      <c r="M168" s="841"/>
      <c r="N168" s="841"/>
      <c r="O168" s="841"/>
      <c r="P168" s="841"/>
      <c r="Q168" s="841"/>
      <c r="R168" s="841"/>
      <c r="S168" s="841"/>
      <c r="T168" s="841"/>
      <c r="U168" s="841"/>
      <c r="V168" s="841"/>
      <c r="W168" s="841"/>
      <c r="X168" s="841"/>
      <c r="Y168" s="841"/>
      <c r="Z168" s="841"/>
    </row>
    <row r="169" spans="1:26" ht="12.75" customHeight="1" x14ac:dyDescent="0.3">
      <c r="A169" s="841"/>
      <c r="B169" s="841"/>
      <c r="C169" s="841"/>
      <c r="D169" s="841"/>
      <c r="E169" s="841"/>
      <c r="F169" s="841"/>
      <c r="G169" s="841"/>
      <c r="H169" s="841"/>
      <c r="I169" s="841"/>
      <c r="J169" s="841"/>
      <c r="K169" s="841"/>
      <c r="L169" s="841"/>
      <c r="M169" s="841"/>
      <c r="N169" s="841"/>
      <c r="O169" s="841"/>
      <c r="P169" s="841"/>
      <c r="Q169" s="841"/>
      <c r="R169" s="841"/>
      <c r="S169" s="841"/>
      <c r="T169" s="841"/>
      <c r="U169" s="841"/>
      <c r="V169" s="841"/>
      <c r="W169" s="841"/>
      <c r="X169" s="841"/>
      <c r="Y169" s="841"/>
      <c r="Z169" s="841"/>
    </row>
    <row r="170" spans="1:26" ht="12.75" customHeight="1" x14ac:dyDescent="0.3">
      <c r="A170" s="841"/>
      <c r="B170" s="841"/>
      <c r="C170" s="841"/>
      <c r="D170" s="841"/>
      <c r="E170" s="841"/>
      <c r="F170" s="841"/>
      <c r="G170" s="841"/>
      <c r="H170" s="841"/>
      <c r="I170" s="841"/>
      <c r="J170" s="841"/>
      <c r="K170" s="841"/>
      <c r="L170" s="841"/>
      <c r="M170" s="841"/>
      <c r="N170" s="841"/>
      <c r="O170" s="841"/>
      <c r="P170" s="841"/>
      <c r="Q170" s="841"/>
      <c r="R170" s="841"/>
      <c r="S170" s="841"/>
      <c r="T170" s="841"/>
      <c r="U170" s="841"/>
      <c r="V170" s="841"/>
      <c r="W170" s="841"/>
      <c r="X170" s="841"/>
      <c r="Y170" s="841"/>
      <c r="Z170" s="841"/>
    </row>
    <row r="171" spans="1:26" ht="12.75" customHeight="1" x14ac:dyDescent="0.3">
      <c r="A171" s="841"/>
      <c r="B171" s="841"/>
      <c r="C171" s="841"/>
      <c r="D171" s="841"/>
      <c r="E171" s="841"/>
      <c r="F171" s="841"/>
      <c r="G171" s="841"/>
      <c r="H171" s="841"/>
      <c r="I171" s="841"/>
      <c r="J171" s="841"/>
      <c r="K171" s="841"/>
      <c r="L171" s="841"/>
      <c r="M171" s="841"/>
      <c r="N171" s="841"/>
      <c r="O171" s="841"/>
      <c r="P171" s="841"/>
      <c r="Q171" s="841"/>
      <c r="R171" s="841"/>
      <c r="S171" s="841"/>
      <c r="T171" s="841"/>
      <c r="U171" s="841"/>
      <c r="V171" s="841"/>
      <c r="W171" s="841"/>
      <c r="X171" s="841"/>
      <c r="Y171" s="841"/>
      <c r="Z171" s="841"/>
    </row>
    <row r="172" spans="1:26" ht="12.75" customHeight="1" x14ac:dyDescent="0.3">
      <c r="A172" s="841"/>
      <c r="B172" s="841"/>
      <c r="C172" s="841"/>
      <c r="D172" s="841"/>
      <c r="E172" s="841"/>
      <c r="F172" s="841"/>
      <c r="G172" s="841"/>
      <c r="H172" s="841"/>
      <c r="I172" s="841"/>
      <c r="J172" s="841"/>
      <c r="K172" s="841"/>
      <c r="L172" s="841"/>
      <c r="M172" s="841"/>
      <c r="N172" s="841"/>
      <c r="O172" s="841"/>
      <c r="P172" s="841"/>
      <c r="Q172" s="841"/>
      <c r="R172" s="841"/>
      <c r="S172" s="841"/>
      <c r="T172" s="841"/>
      <c r="U172" s="841"/>
      <c r="V172" s="841"/>
      <c r="W172" s="841"/>
      <c r="X172" s="841"/>
      <c r="Y172" s="841"/>
      <c r="Z172" s="841"/>
    </row>
    <row r="173" spans="1:26" ht="12.75" customHeight="1" x14ac:dyDescent="0.3">
      <c r="A173" s="841"/>
      <c r="B173" s="841"/>
      <c r="C173" s="841"/>
      <c r="D173" s="841"/>
      <c r="E173" s="841"/>
      <c r="F173" s="841"/>
      <c r="G173" s="841"/>
      <c r="H173" s="841"/>
      <c r="I173" s="841"/>
      <c r="J173" s="841"/>
      <c r="K173" s="841"/>
      <c r="L173" s="841"/>
      <c r="M173" s="841"/>
      <c r="N173" s="841"/>
      <c r="O173" s="841"/>
      <c r="P173" s="841"/>
      <c r="Q173" s="841"/>
      <c r="R173" s="841"/>
      <c r="S173" s="841"/>
      <c r="T173" s="841"/>
      <c r="U173" s="841"/>
      <c r="V173" s="841"/>
      <c r="W173" s="841"/>
      <c r="X173" s="841"/>
      <c r="Y173" s="841"/>
      <c r="Z173" s="841"/>
    </row>
    <row r="174" spans="1:26" ht="12.75" customHeight="1" x14ac:dyDescent="0.3">
      <c r="A174" s="841"/>
      <c r="B174" s="841"/>
      <c r="C174" s="841"/>
      <c r="D174" s="841"/>
      <c r="E174" s="841"/>
      <c r="F174" s="841"/>
      <c r="G174" s="841"/>
      <c r="H174" s="841"/>
      <c r="I174" s="841"/>
      <c r="J174" s="841"/>
      <c r="K174" s="841"/>
      <c r="L174" s="841"/>
      <c r="M174" s="841"/>
      <c r="N174" s="841"/>
      <c r="O174" s="841"/>
      <c r="P174" s="841"/>
      <c r="Q174" s="841"/>
      <c r="R174" s="841"/>
      <c r="S174" s="841"/>
      <c r="T174" s="841"/>
      <c r="U174" s="841"/>
      <c r="V174" s="841"/>
      <c r="W174" s="841"/>
      <c r="X174" s="841"/>
      <c r="Y174" s="841"/>
      <c r="Z174" s="841"/>
    </row>
    <row r="175" spans="1:26" ht="12.75" customHeight="1" x14ac:dyDescent="0.3">
      <c r="A175" s="841"/>
      <c r="B175" s="841"/>
      <c r="C175" s="841"/>
      <c r="D175" s="841"/>
      <c r="E175" s="841"/>
      <c r="F175" s="841"/>
      <c r="G175" s="841"/>
      <c r="H175" s="841"/>
      <c r="I175" s="841"/>
      <c r="J175" s="841"/>
      <c r="K175" s="841"/>
      <c r="L175" s="841"/>
      <c r="M175" s="841"/>
      <c r="N175" s="841"/>
      <c r="O175" s="841"/>
      <c r="P175" s="841"/>
      <c r="Q175" s="841"/>
      <c r="R175" s="841"/>
      <c r="S175" s="841"/>
      <c r="T175" s="841"/>
      <c r="U175" s="841"/>
      <c r="V175" s="841"/>
      <c r="W175" s="841"/>
      <c r="X175" s="841"/>
      <c r="Y175" s="841"/>
      <c r="Z175" s="841"/>
    </row>
    <row r="176" spans="1:26" ht="12.75" customHeight="1" x14ac:dyDescent="0.3">
      <c r="A176" s="841"/>
      <c r="B176" s="841"/>
      <c r="C176" s="841"/>
      <c r="D176" s="841"/>
      <c r="E176" s="841"/>
      <c r="F176" s="841"/>
      <c r="G176" s="841"/>
      <c r="H176" s="841"/>
      <c r="I176" s="841"/>
      <c r="J176" s="841"/>
      <c r="K176" s="841"/>
      <c r="L176" s="841"/>
      <c r="M176" s="841"/>
      <c r="N176" s="841"/>
      <c r="O176" s="841"/>
      <c r="P176" s="841"/>
      <c r="Q176" s="841"/>
      <c r="R176" s="841"/>
      <c r="S176" s="841"/>
      <c r="T176" s="841"/>
      <c r="U176" s="841"/>
      <c r="V176" s="841"/>
      <c r="W176" s="841"/>
      <c r="X176" s="841"/>
      <c r="Y176" s="841"/>
      <c r="Z176" s="841"/>
    </row>
    <row r="177" spans="1:26" ht="12.75" customHeight="1" x14ac:dyDescent="0.3">
      <c r="A177" s="841"/>
      <c r="B177" s="841"/>
      <c r="C177" s="841"/>
      <c r="D177" s="841"/>
      <c r="E177" s="841"/>
      <c r="F177" s="841"/>
      <c r="G177" s="841"/>
      <c r="H177" s="841"/>
      <c r="I177" s="841"/>
      <c r="J177" s="841"/>
      <c r="K177" s="841"/>
      <c r="L177" s="841"/>
      <c r="M177" s="841"/>
      <c r="N177" s="841"/>
      <c r="O177" s="841"/>
      <c r="P177" s="841"/>
      <c r="Q177" s="841"/>
      <c r="R177" s="841"/>
      <c r="S177" s="841"/>
      <c r="T177" s="841"/>
      <c r="U177" s="841"/>
      <c r="V177" s="841"/>
      <c r="W177" s="841"/>
      <c r="X177" s="841"/>
      <c r="Y177" s="841"/>
      <c r="Z177" s="841"/>
    </row>
    <row r="178" spans="1:26" ht="12.75" customHeight="1" x14ac:dyDescent="0.3">
      <c r="A178" s="841"/>
      <c r="B178" s="841"/>
      <c r="C178" s="841"/>
      <c r="D178" s="841"/>
      <c r="E178" s="841"/>
      <c r="F178" s="841"/>
      <c r="G178" s="841"/>
      <c r="H178" s="841"/>
      <c r="I178" s="841"/>
      <c r="J178" s="841"/>
      <c r="K178" s="841"/>
      <c r="L178" s="841"/>
      <c r="M178" s="841"/>
      <c r="N178" s="841"/>
      <c r="O178" s="841"/>
      <c r="P178" s="841"/>
      <c r="Q178" s="841"/>
      <c r="R178" s="841"/>
      <c r="S178" s="841"/>
      <c r="T178" s="841"/>
      <c r="U178" s="841"/>
      <c r="V178" s="841"/>
      <c r="W178" s="841"/>
      <c r="X178" s="841"/>
      <c r="Y178" s="841"/>
      <c r="Z178" s="841"/>
    </row>
    <row r="179" spans="1:26" ht="12.75" customHeight="1" x14ac:dyDescent="0.3">
      <c r="A179" s="841"/>
      <c r="B179" s="841"/>
      <c r="C179" s="841"/>
      <c r="D179" s="841"/>
      <c r="E179" s="841"/>
      <c r="F179" s="841"/>
      <c r="G179" s="841"/>
      <c r="H179" s="841"/>
      <c r="I179" s="841"/>
      <c r="J179" s="841"/>
      <c r="K179" s="841"/>
      <c r="L179" s="841"/>
      <c r="M179" s="841"/>
      <c r="N179" s="841"/>
      <c r="O179" s="841"/>
      <c r="P179" s="841"/>
      <c r="Q179" s="841"/>
      <c r="R179" s="841"/>
      <c r="S179" s="841"/>
      <c r="T179" s="841"/>
      <c r="U179" s="841"/>
      <c r="V179" s="841"/>
      <c r="W179" s="841"/>
      <c r="X179" s="841"/>
      <c r="Y179" s="841"/>
      <c r="Z179" s="841"/>
    </row>
    <row r="180" spans="1:26" ht="12.75" customHeight="1" x14ac:dyDescent="0.3">
      <c r="A180" s="841"/>
      <c r="B180" s="841"/>
      <c r="C180" s="841"/>
      <c r="D180" s="841"/>
      <c r="E180" s="841"/>
      <c r="F180" s="841"/>
      <c r="G180" s="841"/>
      <c r="H180" s="841"/>
      <c r="I180" s="841"/>
      <c r="J180" s="841"/>
      <c r="K180" s="841"/>
      <c r="L180" s="841"/>
      <c r="M180" s="841"/>
      <c r="N180" s="841"/>
      <c r="O180" s="841"/>
      <c r="P180" s="841"/>
      <c r="Q180" s="841"/>
      <c r="R180" s="841"/>
      <c r="S180" s="841"/>
      <c r="T180" s="841"/>
      <c r="U180" s="841"/>
      <c r="V180" s="841"/>
      <c r="W180" s="841"/>
      <c r="X180" s="841"/>
      <c r="Y180" s="841"/>
      <c r="Z180" s="841"/>
    </row>
    <row r="181" spans="1:26" ht="12.75" customHeight="1" x14ac:dyDescent="0.3">
      <c r="A181" s="841"/>
      <c r="B181" s="841"/>
      <c r="C181" s="841"/>
      <c r="D181" s="841"/>
      <c r="E181" s="841"/>
      <c r="F181" s="841"/>
      <c r="G181" s="841"/>
      <c r="H181" s="841"/>
      <c r="I181" s="841"/>
      <c r="J181" s="841"/>
      <c r="K181" s="841"/>
      <c r="L181" s="841"/>
      <c r="M181" s="841"/>
      <c r="N181" s="841"/>
      <c r="O181" s="841"/>
      <c r="P181" s="841"/>
      <c r="Q181" s="841"/>
      <c r="R181" s="841"/>
      <c r="S181" s="841"/>
      <c r="T181" s="841"/>
      <c r="U181" s="841"/>
      <c r="V181" s="841"/>
      <c r="W181" s="841"/>
      <c r="X181" s="841"/>
      <c r="Y181" s="841"/>
      <c r="Z181" s="841"/>
    </row>
    <row r="182" spans="1:26" ht="12.75" customHeight="1" x14ac:dyDescent="0.3">
      <c r="A182" s="841"/>
      <c r="B182" s="841"/>
      <c r="C182" s="841"/>
      <c r="D182" s="841"/>
      <c r="E182" s="841"/>
      <c r="F182" s="841"/>
      <c r="G182" s="841"/>
      <c r="H182" s="841"/>
      <c r="I182" s="841"/>
      <c r="J182" s="841"/>
      <c r="K182" s="841"/>
      <c r="L182" s="841"/>
      <c r="M182" s="841"/>
      <c r="N182" s="841"/>
      <c r="O182" s="841"/>
      <c r="P182" s="841"/>
      <c r="Q182" s="841"/>
      <c r="R182" s="841"/>
      <c r="S182" s="841"/>
      <c r="T182" s="841"/>
      <c r="U182" s="841"/>
      <c r="V182" s="841"/>
      <c r="W182" s="841"/>
      <c r="X182" s="841"/>
      <c r="Y182" s="841"/>
      <c r="Z182" s="841"/>
    </row>
    <row r="183" spans="1:26" ht="12.75" customHeight="1" x14ac:dyDescent="0.3">
      <c r="A183" s="841"/>
      <c r="B183" s="841"/>
      <c r="C183" s="841"/>
      <c r="D183" s="841"/>
      <c r="E183" s="841"/>
      <c r="F183" s="841"/>
      <c r="G183" s="841"/>
      <c r="H183" s="841"/>
      <c r="I183" s="841"/>
      <c r="J183" s="841"/>
      <c r="K183" s="841"/>
      <c r="L183" s="841"/>
      <c r="M183" s="841"/>
      <c r="N183" s="841"/>
      <c r="O183" s="841"/>
      <c r="P183" s="841"/>
      <c r="Q183" s="841"/>
      <c r="R183" s="841"/>
      <c r="S183" s="841"/>
      <c r="T183" s="841"/>
      <c r="U183" s="841"/>
      <c r="V183" s="841"/>
      <c r="W183" s="841"/>
      <c r="X183" s="841"/>
      <c r="Y183" s="841"/>
      <c r="Z183" s="841"/>
    </row>
    <row r="184" spans="1:26" ht="12.75" customHeight="1" x14ac:dyDescent="0.3">
      <c r="A184" s="841"/>
      <c r="B184" s="841"/>
      <c r="C184" s="841"/>
      <c r="D184" s="841"/>
      <c r="E184" s="841"/>
      <c r="F184" s="841"/>
      <c r="G184" s="841"/>
      <c r="H184" s="841"/>
      <c r="I184" s="841"/>
      <c r="J184" s="841"/>
      <c r="K184" s="841"/>
      <c r="L184" s="841"/>
      <c r="M184" s="841"/>
      <c r="N184" s="841"/>
      <c r="O184" s="841"/>
      <c r="P184" s="841"/>
      <c r="Q184" s="841"/>
      <c r="R184" s="841"/>
      <c r="S184" s="841"/>
      <c r="T184" s="841"/>
      <c r="U184" s="841"/>
      <c r="V184" s="841"/>
      <c r="W184" s="841"/>
      <c r="X184" s="841"/>
      <c r="Y184" s="841"/>
      <c r="Z184" s="841"/>
    </row>
    <row r="185" spans="1:26" ht="12.75" customHeight="1" x14ac:dyDescent="0.3">
      <c r="A185" s="841"/>
      <c r="B185" s="841"/>
      <c r="C185" s="841"/>
      <c r="D185" s="841"/>
      <c r="E185" s="841"/>
      <c r="F185" s="841"/>
      <c r="G185" s="841"/>
      <c r="H185" s="841"/>
      <c r="I185" s="841"/>
      <c r="J185" s="841"/>
      <c r="K185" s="841"/>
      <c r="L185" s="841"/>
      <c r="M185" s="841"/>
      <c r="N185" s="841"/>
      <c r="O185" s="841"/>
      <c r="P185" s="841"/>
      <c r="Q185" s="841"/>
      <c r="R185" s="841"/>
      <c r="S185" s="841"/>
      <c r="T185" s="841"/>
      <c r="U185" s="841"/>
      <c r="V185" s="841"/>
      <c r="W185" s="841"/>
      <c r="X185" s="841"/>
      <c r="Y185" s="841"/>
      <c r="Z185" s="841"/>
    </row>
    <row r="186" spans="1:26" ht="12.75" customHeight="1" x14ac:dyDescent="0.3">
      <c r="A186" s="841"/>
      <c r="B186" s="841"/>
      <c r="C186" s="841"/>
      <c r="D186" s="841"/>
      <c r="E186" s="841"/>
      <c r="F186" s="841"/>
      <c r="G186" s="841"/>
      <c r="H186" s="841"/>
      <c r="I186" s="841"/>
      <c r="J186" s="841"/>
      <c r="K186" s="841"/>
      <c r="L186" s="841"/>
      <c r="M186" s="841"/>
      <c r="N186" s="841"/>
      <c r="O186" s="841"/>
      <c r="P186" s="841"/>
      <c r="Q186" s="841"/>
      <c r="R186" s="841"/>
      <c r="S186" s="841"/>
      <c r="T186" s="841"/>
      <c r="U186" s="841"/>
      <c r="V186" s="841"/>
      <c r="W186" s="841"/>
      <c r="X186" s="841"/>
      <c r="Y186" s="841"/>
      <c r="Z186" s="841"/>
    </row>
    <row r="187" spans="1:26" ht="12.75" customHeight="1" x14ac:dyDescent="0.3">
      <c r="A187" s="841"/>
      <c r="B187" s="841"/>
      <c r="C187" s="841"/>
      <c r="D187" s="841"/>
      <c r="E187" s="841"/>
      <c r="F187" s="841"/>
      <c r="G187" s="841"/>
      <c r="H187" s="841"/>
      <c r="I187" s="841"/>
      <c r="J187" s="841"/>
      <c r="K187" s="841"/>
      <c r="L187" s="841"/>
      <c r="M187" s="841"/>
      <c r="N187" s="841"/>
      <c r="O187" s="841"/>
      <c r="P187" s="841"/>
      <c r="Q187" s="841"/>
      <c r="R187" s="841"/>
      <c r="S187" s="841"/>
      <c r="T187" s="841"/>
      <c r="U187" s="841"/>
      <c r="V187" s="841"/>
      <c r="W187" s="841"/>
      <c r="X187" s="841"/>
      <c r="Y187" s="841"/>
      <c r="Z187" s="841"/>
    </row>
    <row r="188" spans="1:26" ht="12.75" customHeight="1" x14ac:dyDescent="0.3">
      <c r="A188" s="841"/>
      <c r="B188" s="841"/>
      <c r="C188" s="841"/>
      <c r="D188" s="841"/>
      <c r="E188" s="841"/>
      <c r="F188" s="841"/>
      <c r="G188" s="841"/>
      <c r="H188" s="841"/>
      <c r="I188" s="841"/>
      <c r="J188" s="841"/>
      <c r="K188" s="841"/>
      <c r="L188" s="841"/>
      <c r="M188" s="841"/>
      <c r="N188" s="841"/>
      <c r="O188" s="841"/>
      <c r="P188" s="841"/>
      <c r="Q188" s="841"/>
      <c r="R188" s="841"/>
      <c r="S188" s="841"/>
      <c r="T188" s="841"/>
      <c r="U188" s="841"/>
      <c r="V188" s="841"/>
      <c r="W188" s="841"/>
      <c r="X188" s="841"/>
      <c r="Y188" s="841"/>
      <c r="Z188" s="841"/>
    </row>
    <row r="189" spans="1:26" ht="12.75" customHeight="1" x14ac:dyDescent="0.3">
      <c r="A189" s="841"/>
      <c r="B189" s="841"/>
      <c r="C189" s="841"/>
      <c r="D189" s="841"/>
      <c r="E189" s="841"/>
      <c r="F189" s="841"/>
      <c r="G189" s="841"/>
      <c r="H189" s="841"/>
      <c r="I189" s="841"/>
      <c r="J189" s="841"/>
      <c r="K189" s="841"/>
      <c r="L189" s="841"/>
      <c r="M189" s="841"/>
      <c r="N189" s="841"/>
      <c r="O189" s="841"/>
      <c r="P189" s="841"/>
      <c r="Q189" s="841"/>
      <c r="R189" s="841"/>
      <c r="S189" s="841"/>
      <c r="T189" s="841"/>
      <c r="U189" s="841"/>
      <c r="V189" s="841"/>
      <c r="W189" s="841"/>
      <c r="X189" s="841"/>
      <c r="Y189" s="841"/>
      <c r="Z189" s="841"/>
    </row>
    <row r="190" spans="1:26" ht="12.75" customHeight="1" x14ac:dyDescent="0.3">
      <c r="A190" s="841"/>
      <c r="B190" s="841"/>
      <c r="C190" s="841"/>
      <c r="D190" s="841"/>
      <c r="E190" s="841"/>
      <c r="F190" s="841"/>
      <c r="G190" s="841"/>
      <c r="H190" s="841"/>
      <c r="I190" s="841"/>
      <c r="J190" s="841"/>
      <c r="K190" s="841"/>
      <c r="L190" s="841"/>
      <c r="M190" s="841"/>
      <c r="N190" s="841"/>
      <c r="O190" s="841"/>
      <c r="P190" s="841"/>
      <c r="Q190" s="841"/>
      <c r="R190" s="841"/>
      <c r="S190" s="841"/>
      <c r="T190" s="841"/>
      <c r="U190" s="841"/>
      <c r="V190" s="841"/>
      <c r="W190" s="841"/>
      <c r="X190" s="841"/>
      <c r="Y190" s="841"/>
      <c r="Z190" s="841"/>
    </row>
    <row r="191" spans="1:26" ht="12.75" customHeight="1" x14ac:dyDescent="0.3">
      <c r="A191" s="841"/>
      <c r="B191" s="841"/>
      <c r="C191" s="841"/>
      <c r="D191" s="841"/>
      <c r="E191" s="841"/>
      <c r="F191" s="841"/>
      <c r="G191" s="841"/>
      <c r="H191" s="841"/>
      <c r="I191" s="841"/>
      <c r="J191" s="841"/>
      <c r="K191" s="841"/>
      <c r="L191" s="841"/>
      <c r="M191" s="841"/>
      <c r="N191" s="841"/>
      <c r="O191" s="841"/>
      <c r="P191" s="841"/>
      <c r="Q191" s="841"/>
      <c r="R191" s="841"/>
      <c r="S191" s="841"/>
      <c r="T191" s="841"/>
      <c r="U191" s="841"/>
      <c r="V191" s="841"/>
      <c r="W191" s="841"/>
      <c r="X191" s="841"/>
      <c r="Y191" s="841"/>
      <c r="Z191" s="841"/>
    </row>
    <row r="192" spans="1:26" ht="12.75" customHeight="1" x14ac:dyDescent="0.3">
      <c r="A192" s="841"/>
      <c r="B192" s="841"/>
      <c r="C192" s="841"/>
      <c r="D192" s="841"/>
      <c r="E192" s="841"/>
      <c r="F192" s="841"/>
      <c r="G192" s="841"/>
      <c r="H192" s="841"/>
      <c r="I192" s="841"/>
      <c r="J192" s="841"/>
      <c r="K192" s="841"/>
      <c r="L192" s="841"/>
      <c r="M192" s="841"/>
      <c r="N192" s="841"/>
      <c r="O192" s="841"/>
      <c r="P192" s="841"/>
      <c r="Q192" s="841"/>
      <c r="R192" s="841"/>
      <c r="S192" s="841"/>
      <c r="T192" s="841"/>
      <c r="U192" s="841"/>
      <c r="V192" s="841"/>
      <c r="W192" s="841"/>
      <c r="X192" s="841"/>
      <c r="Y192" s="841"/>
      <c r="Z192" s="841"/>
    </row>
    <row r="193" spans="1:26" ht="12.75" customHeight="1" x14ac:dyDescent="0.3">
      <c r="A193" s="841"/>
      <c r="B193" s="841"/>
      <c r="C193" s="841"/>
      <c r="D193" s="841"/>
      <c r="E193" s="841"/>
      <c r="F193" s="841"/>
      <c r="G193" s="841"/>
      <c r="H193" s="841"/>
      <c r="I193" s="841"/>
      <c r="J193" s="841"/>
      <c r="K193" s="841"/>
      <c r="L193" s="841"/>
      <c r="M193" s="841"/>
      <c r="N193" s="841"/>
      <c r="O193" s="841"/>
      <c r="P193" s="841"/>
      <c r="Q193" s="841"/>
      <c r="R193" s="841"/>
      <c r="S193" s="841"/>
      <c r="T193" s="841"/>
      <c r="U193" s="841"/>
      <c r="V193" s="841"/>
      <c r="W193" s="841"/>
      <c r="X193" s="841"/>
      <c r="Y193" s="841"/>
      <c r="Z193" s="841"/>
    </row>
    <row r="194" spans="1:26" ht="12.75" customHeight="1" x14ac:dyDescent="0.3">
      <c r="A194" s="841"/>
      <c r="B194" s="841"/>
      <c r="C194" s="841"/>
      <c r="D194" s="841"/>
      <c r="E194" s="841"/>
      <c r="F194" s="841"/>
      <c r="G194" s="841"/>
      <c r="H194" s="841"/>
      <c r="I194" s="841"/>
      <c r="J194" s="841"/>
      <c r="K194" s="841"/>
      <c r="L194" s="841"/>
      <c r="M194" s="841"/>
      <c r="N194" s="841"/>
      <c r="O194" s="841"/>
      <c r="P194" s="841"/>
      <c r="Q194" s="841"/>
      <c r="R194" s="841"/>
      <c r="S194" s="841"/>
      <c r="T194" s="841"/>
      <c r="U194" s="841"/>
      <c r="V194" s="841"/>
      <c r="W194" s="841"/>
      <c r="X194" s="841"/>
      <c r="Y194" s="841"/>
      <c r="Z194" s="841"/>
    </row>
    <row r="195" spans="1:26" ht="12.75" customHeight="1" x14ac:dyDescent="0.3">
      <c r="A195" s="841"/>
      <c r="B195" s="841"/>
      <c r="C195" s="841"/>
      <c r="D195" s="841"/>
      <c r="E195" s="841"/>
      <c r="F195" s="841"/>
      <c r="G195" s="841"/>
      <c r="H195" s="841"/>
      <c r="I195" s="841"/>
      <c r="J195" s="841"/>
      <c r="K195" s="841"/>
      <c r="L195" s="841"/>
      <c r="M195" s="841"/>
      <c r="N195" s="841"/>
      <c r="O195" s="841"/>
      <c r="P195" s="841"/>
      <c r="Q195" s="841"/>
      <c r="R195" s="841"/>
      <c r="S195" s="841"/>
      <c r="T195" s="841"/>
      <c r="U195" s="841"/>
      <c r="V195" s="841"/>
      <c r="W195" s="841"/>
      <c r="X195" s="841"/>
      <c r="Y195" s="841"/>
      <c r="Z195" s="841"/>
    </row>
    <row r="196" spans="1:26" ht="12.75" customHeight="1" x14ac:dyDescent="0.3">
      <c r="A196" s="841"/>
      <c r="B196" s="841"/>
      <c r="C196" s="841"/>
      <c r="D196" s="841"/>
      <c r="E196" s="841"/>
      <c r="F196" s="841"/>
      <c r="G196" s="841"/>
      <c r="H196" s="841"/>
      <c r="I196" s="841"/>
      <c r="J196" s="841"/>
      <c r="K196" s="841"/>
      <c r="L196" s="841"/>
      <c r="M196" s="841"/>
      <c r="N196" s="841"/>
      <c r="O196" s="841"/>
      <c r="P196" s="841"/>
      <c r="Q196" s="841"/>
      <c r="R196" s="841"/>
      <c r="S196" s="841"/>
      <c r="T196" s="841"/>
      <c r="U196" s="841"/>
      <c r="V196" s="841"/>
      <c r="W196" s="841"/>
      <c r="X196" s="841"/>
      <c r="Y196" s="841"/>
      <c r="Z196" s="841"/>
    </row>
    <row r="197" spans="1:26" ht="12.75" customHeight="1" x14ac:dyDescent="0.3">
      <c r="A197" s="841"/>
      <c r="B197" s="841"/>
      <c r="C197" s="841"/>
      <c r="D197" s="841"/>
      <c r="E197" s="841"/>
      <c r="F197" s="841"/>
      <c r="G197" s="841"/>
      <c r="H197" s="841"/>
      <c r="I197" s="841"/>
      <c r="J197" s="841"/>
      <c r="K197" s="841"/>
      <c r="L197" s="841"/>
      <c r="M197" s="841"/>
      <c r="N197" s="841"/>
      <c r="O197" s="841"/>
      <c r="P197" s="841"/>
      <c r="Q197" s="841"/>
      <c r="R197" s="841"/>
      <c r="S197" s="841"/>
      <c r="T197" s="841"/>
      <c r="U197" s="841"/>
      <c r="V197" s="841"/>
      <c r="W197" s="841"/>
      <c r="X197" s="841"/>
      <c r="Y197" s="841"/>
      <c r="Z197" s="841"/>
    </row>
    <row r="198" spans="1:26" ht="12.75" customHeight="1" x14ac:dyDescent="0.3">
      <c r="A198" s="841"/>
      <c r="B198" s="841"/>
      <c r="C198" s="841"/>
      <c r="D198" s="841"/>
      <c r="E198" s="841"/>
      <c r="F198" s="841"/>
      <c r="G198" s="841"/>
      <c r="H198" s="841"/>
      <c r="I198" s="841"/>
      <c r="J198" s="841"/>
      <c r="K198" s="841"/>
      <c r="L198" s="841"/>
      <c r="M198" s="841"/>
      <c r="N198" s="841"/>
      <c r="O198" s="841"/>
      <c r="P198" s="841"/>
      <c r="Q198" s="841"/>
      <c r="R198" s="841"/>
      <c r="S198" s="841"/>
      <c r="T198" s="841"/>
      <c r="U198" s="841"/>
      <c r="V198" s="841"/>
      <c r="W198" s="841"/>
      <c r="X198" s="841"/>
      <c r="Y198" s="841"/>
      <c r="Z198" s="841"/>
    </row>
    <row r="199" spans="1:26" ht="12.75" customHeight="1" x14ac:dyDescent="0.3">
      <c r="A199" s="841"/>
      <c r="B199" s="841"/>
      <c r="C199" s="841"/>
      <c r="D199" s="841"/>
      <c r="E199" s="841"/>
      <c r="F199" s="841"/>
      <c r="G199" s="841"/>
      <c r="H199" s="841"/>
      <c r="I199" s="841"/>
      <c r="J199" s="841"/>
      <c r="K199" s="841"/>
      <c r="L199" s="841"/>
      <c r="M199" s="841"/>
      <c r="N199" s="841"/>
      <c r="O199" s="841"/>
      <c r="P199" s="841"/>
      <c r="Q199" s="841"/>
      <c r="R199" s="841"/>
      <c r="S199" s="841"/>
      <c r="T199" s="841"/>
      <c r="U199" s="841"/>
      <c r="V199" s="841"/>
      <c r="W199" s="841"/>
      <c r="X199" s="841"/>
      <c r="Y199" s="841"/>
      <c r="Z199" s="841"/>
    </row>
    <row r="200" spans="1:26" ht="12.75" customHeight="1" x14ac:dyDescent="0.3">
      <c r="A200" s="841"/>
      <c r="B200" s="841"/>
      <c r="C200" s="841"/>
      <c r="D200" s="841"/>
      <c r="E200" s="841"/>
      <c r="F200" s="841"/>
      <c r="G200" s="841"/>
      <c r="H200" s="841"/>
      <c r="I200" s="841"/>
      <c r="J200" s="841"/>
      <c r="K200" s="841"/>
      <c r="L200" s="841"/>
      <c r="M200" s="841"/>
      <c r="N200" s="841"/>
      <c r="O200" s="841"/>
      <c r="P200" s="841"/>
      <c r="Q200" s="841"/>
      <c r="R200" s="841"/>
      <c r="S200" s="841"/>
      <c r="T200" s="841"/>
      <c r="U200" s="841"/>
      <c r="V200" s="841"/>
      <c r="W200" s="841"/>
      <c r="X200" s="841"/>
      <c r="Y200" s="841"/>
      <c r="Z200" s="841"/>
    </row>
    <row r="201" spans="1:26" ht="12.75" customHeight="1" x14ac:dyDescent="0.3">
      <c r="A201" s="841"/>
      <c r="B201" s="841"/>
      <c r="C201" s="841"/>
      <c r="D201" s="841"/>
      <c r="E201" s="841"/>
      <c r="F201" s="841"/>
      <c r="G201" s="841"/>
      <c r="H201" s="841"/>
      <c r="I201" s="841"/>
      <c r="J201" s="841"/>
      <c r="K201" s="841"/>
      <c r="L201" s="841"/>
      <c r="M201" s="841"/>
      <c r="N201" s="841"/>
      <c r="O201" s="841"/>
      <c r="P201" s="841"/>
      <c r="Q201" s="841"/>
      <c r="R201" s="841"/>
      <c r="S201" s="841"/>
      <c r="T201" s="841"/>
      <c r="U201" s="841"/>
      <c r="V201" s="841"/>
      <c r="W201" s="841"/>
      <c r="X201" s="841"/>
      <c r="Y201" s="841"/>
      <c r="Z201" s="841"/>
    </row>
    <row r="202" spans="1:26" ht="12.75" customHeight="1" x14ac:dyDescent="0.3">
      <c r="A202" s="841"/>
      <c r="B202" s="841"/>
      <c r="C202" s="841"/>
      <c r="D202" s="841"/>
      <c r="E202" s="841"/>
      <c r="F202" s="841"/>
      <c r="G202" s="841"/>
      <c r="H202" s="841"/>
      <c r="I202" s="841"/>
      <c r="J202" s="841"/>
      <c r="K202" s="841"/>
      <c r="L202" s="841"/>
      <c r="M202" s="841"/>
      <c r="N202" s="841"/>
      <c r="O202" s="841"/>
      <c r="P202" s="841"/>
      <c r="Q202" s="841"/>
      <c r="R202" s="841"/>
      <c r="S202" s="841"/>
      <c r="T202" s="841"/>
      <c r="U202" s="841"/>
      <c r="V202" s="841"/>
      <c r="W202" s="841"/>
      <c r="X202" s="841"/>
      <c r="Y202" s="841"/>
      <c r="Z202" s="841"/>
    </row>
    <row r="203" spans="1:26" ht="12.75" customHeight="1" x14ac:dyDescent="0.3">
      <c r="A203" s="841"/>
      <c r="B203" s="841"/>
      <c r="C203" s="841"/>
      <c r="D203" s="841"/>
      <c r="E203" s="841"/>
      <c r="F203" s="841"/>
      <c r="G203" s="841"/>
      <c r="H203" s="841"/>
      <c r="I203" s="841"/>
      <c r="J203" s="841"/>
      <c r="K203" s="841"/>
      <c r="L203" s="841"/>
      <c r="M203" s="841"/>
      <c r="N203" s="841"/>
      <c r="O203" s="841"/>
      <c r="P203" s="841"/>
      <c r="Q203" s="841"/>
      <c r="R203" s="841"/>
      <c r="S203" s="841"/>
      <c r="T203" s="841"/>
      <c r="U203" s="841"/>
      <c r="V203" s="841"/>
      <c r="W203" s="841"/>
      <c r="X203" s="841"/>
      <c r="Y203" s="841"/>
      <c r="Z203" s="841"/>
    </row>
    <row r="204" spans="1:26" ht="12.75" customHeight="1" x14ac:dyDescent="0.3">
      <c r="A204" s="841"/>
      <c r="B204" s="841"/>
      <c r="C204" s="841"/>
      <c r="D204" s="841"/>
      <c r="E204" s="841"/>
      <c r="F204" s="841"/>
      <c r="G204" s="841"/>
      <c r="H204" s="841"/>
      <c r="I204" s="841"/>
      <c r="J204" s="841"/>
      <c r="K204" s="841"/>
      <c r="L204" s="841"/>
      <c r="M204" s="841"/>
      <c r="N204" s="841"/>
      <c r="O204" s="841"/>
      <c r="P204" s="841"/>
      <c r="Q204" s="841"/>
      <c r="R204" s="841"/>
      <c r="S204" s="841"/>
      <c r="T204" s="841"/>
      <c r="U204" s="841"/>
      <c r="V204" s="841"/>
      <c r="W204" s="841"/>
      <c r="X204" s="841"/>
      <c r="Y204" s="841"/>
      <c r="Z204" s="841"/>
    </row>
    <row r="205" spans="1:26" ht="12.75" customHeight="1" x14ac:dyDescent="0.3">
      <c r="A205" s="841"/>
      <c r="B205" s="841"/>
      <c r="C205" s="841"/>
      <c r="D205" s="841"/>
      <c r="E205" s="841"/>
      <c r="F205" s="841"/>
      <c r="G205" s="841"/>
      <c r="H205" s="841"/>
      <c r="I205" s="841"/>
      <c r="J205" s="841"/>
      <c r="K205" s="841"/>
      <c r="L205" s="841"/>
      <c r="M205" s="841"/>
      <c r="N205" s="841"/>
      <c r="O205" s="841"/>
      <c r="P205" s="841"/>
      <c r="Q205" s="841"/>
      <c r="R205" s="841"/>
      <c r="S205" s="841"/>
      <c r="T205" s="841"/>
      <c r="U205" s="841"/>
      <c r="V205" s="841"/>
      <c r="W205" s="841"/>
      <c r="X205" s="841"/>
      <c r="Y205" s="841"/>
      <c r="Z205" s="841"/>
    </row>
    <row r="206" spans="1:26" ht="12.75" customHeight="1" x14ac:dyDescent="0.3">
      <c r="A206" s="841"/>
      <c r="B206" s="841"/>
      <c r="C206" s="841"/>
      <c r="D206" s="841"/>
      <c r="E206" s="841"/>
      <c r="F206" s="841"/>
      <c r="G206" s="841"/>
      <c r="H206" s="841"/>
      <c r="I206" s="841"/>
      <c r="J206" s="841"/>
      <c r="K206" s="841"/>
      <c r="L206" s="841"/>
      <c r="M206" s="841"/>
      <c r="N206" s="841"/>
      <c r="O206" s="841"/>
      <c r="P206" s="841"/>
      <c r="Q206" s="841"/>
      <c r="R206" s="841"/>
      <c r="S206" s="841"/>
      <c r="T206" s="841"/>
      <c r="U206" s="841"/>
      <c r="V206" s="841"/>
      <c r="W206" s="841"/>
      <c r="X206" s="841"/>
      <c r="Y206" s="841"/>
      <c r="Z206" s="841"/>
    </row>
    <row r="207" spans="1:26" ht="12.75" customHeight="1" x14ac:dyDescent="0.3">
      <c r="A207" s="841"/>
      <c r="B207" s="841"/>
      <c r="C207" s="841"/>
      <c r="D207" s="841"/>
      <c r="E207" s="841"/>
      <c r="F207" s="841"/>
      <c r="G207" s="841"/>
      <c r="H207" s="841"/>
      <c r="I207" s="841"/>
      <c r="J207" s="841"/>
      <c r="K207" s="841"/>
      <c r="L207" s="841"/>
      <c r="M207" s="841"/>
      <c r="N207" s="841"/>
      <c r="O207" s="841"/>
      <c r="P207" s="841"/>
      <c r="Q207" s="841"/>
      <c r="R207" s="841"/>
      <c r="S207" s="841"/>
      <c r="T207" s="841"/>
      <c r="U207" s="841"/>
      <c r="V207" s="841"/>
      <c r="W207" s="841"/>
      <c r="X207" s="841"/>
      <c r="Y207" s="841"/>
      <c r="Z207" s="841"/>
    </row>
    <row r="208" spans="1:26" ht="12.75" customHeight="1" x14ac:dyDescent="0.3">
      <c r="A208" s="841"/>
      <c r="B208" s="841"/>
      <c r="C208" s="841"/>
      <c r="D208" s="841"/>
      <c r="E208" s="841"/>
      <c r="F208" s="841"/>
      <c r="G208" s="841"/>
      <c r="H208" s="841"/>
      <c r="I208" s="841"/>
      <c r="J208" s="841"/>
      <c r="K208" s="841"/>
      <c r="L208" s="841"/>
      <c r="M208" s="841"/>
      <c r="N208" s="841"/>
      <c r="O208" s="841"/>
      <c r="P208" s="841"/>
      <c r="Q208" s="841"/>
      <c r="R208" s="841"/>
      <c r="S208" s="841"/>
      <c r="T208" s="841"/>
      <c r="U208" s="841"/>
      <c r="V208" s="841"/>
      <c r="W208" s="841"/>
      <c r="X208" s="841"/>
      <c r="Y208" s="841"/>
      <c r="Z208" s="841"/>
    </row>
    <row r="209" spans="1:26" ht="12.75" customHeight="1" x14ac:dyDescent="0.3">
      <c r="A209" s="841"/>
      <c r="B209" s="841"/>
      <c r="C209" s="841"/>
      <c r="D209" s="841"/>
      <c r="E209" s="841"/>
      <c r="F209" s="841"/>
      <c r="G209" s="841"/>
      <c r="H209" s="841"/>
      <c r="I209" s="841"/>
      <c r="J209" s="841"/>
      <c r="K209" s="841"/>
      <c r="L209" s="841"/>
      <c r="M209" s="841"/>
      <c r="N209" s="841"/>
      <c r="O209" s="841"/>
      <c r="P209" s="841"/>
      <c r="Q209" s="841"/>
      <c r="R209" s="841"/>
      <c r="S209" s="841"/>
      <c r="T209" s="841"/>
      <c r="U209" s="841"/>
      <c r="V209" s="841"/>
      <c r="W209" s="841"/>
      <c r="X209" s="841"/>
      <c r="Y209" s="841"/>
      <c r="Z209" s="841"/>
    </row>
    <row r="210" spans="1:26" ht="12.75" customHeight="1" x14ac:dyDescent="0.3">
      <c r="A210" s="841"/>
      <c r="B210" s="841"/>
      <c r="C210" s="841"/>
      <c r="D210" s="841"/>
      <c r="E210" s="841"/>
      <c r="F210" s="841"/>
      <c r="G210" s="841"/>
      <c r="H210" s="841"/>
      <c r="I210" s="841"/>
      <c r="J210" s="841"/>
      <c r="K210" s="841"/>
      <c r="L210" s="841"/>
      <c r="M210" s="841"/>
      <c r="N210" s="841"/>
      <c r="O210" s="841"/>
      <c r="P210" s="841"/>
      <c r="Q210" s="841"/>
      <c r="R210" s="841"/>
      <c r="S210" s="841"/>
      <c r="T210" s="841"/>
      <c r="U210" s="841"/>
      <c r="V210" s="841"/>
      <c r="W210" s="841"/>
      <c r="X210" s="841"/>
      <c r="Y210" s="841"/>
      <c r="Z210" s="841"/>
    </row>
    <row r="211" spans="1:26" ht="12.75" customHeight="1" x14ac:dyDescent="0.3">
      <c r="A211" s="841"/>
      <c r="B211" s="841"/>
      <c r="C211" s="841"/>
      <c r="D211" s="841"/>
      <c r="E211" s="841"/>
      <c r="F211" s="841"/>
      <c r="G211" s="841"/>
      <c r="H211" s="841"/>
      <c r="I211" s="841"/>
      <c r="J211" s="841"/>
      <c r="K211" s="841"/>
      <c r="L211" s="841"/>
      <c r="M211" s="841"/>
      <c r="N211" s="841"/>
      <c r="O211" s="841"/>
      <c r="P211" s="841"/>
      <c r="Q211" s="841"/>
      <c r="R211" s="841"/>
      <c r="S211" s="841"/>
      <c r="T211" s="841"/>
      <c r="U211" s="841"/>
      <c r="V211" s="841"/>
      <c r="W211" s="841"/>
      <c r="X211" s="841"/>
      <c r="Y211" s="841"/>
      <c r="Z211" s="841"/>
    </row>
    <row r="212" spans="1:26" ht="12.75" customHeight="1" x14ac:dyDescent="0.3">
      <c r="A212" s="841"/>
      <c r="B212" s="841"/>
      <c r="C212" s="841"/>
      <c r="D212" s="841"/>
      <c r="E212" s="841"/>
      <c r="F212" s="841"/>
      <c r="G212" s="841"/>
      <c r="H212" s="841"/>
      <c r="I212" s="841"/>
      <c r="J212" s="841"/>
      <c r="K212" s="841"/>
      <c r="L212" s="841"/>
      <c r="M212" s="841"/>
      <c r="N212" s="841"/>
      <c r="O212" s="841"/>
      <c r="P212" s="841"/>
      <c r="Q212" s="841"/>
      <c r="R212" s="841"/>
      <c r="S212" s="841"/>
      <c r="T212" s="841"/>
      <c r="U212" s="841"/>
      <c r="V212" s="841"/>
      <c r="W212" s="841"/>
      <c r="X212" s="841"/>
      <c r="Y212" s="841"/>
      <c r="Z212" s="841"/>
    </row>
    <row r="213" spans="1:26" ht="12.75" customHeight="1" x14ac:dyDescent="0.3">
      <c r="A213" s="841"/>
      <c r="B213" s="841"/>
      <c r="C213" s="841"/>
      <c r="D213" s="841"/>
      <c r="E213" s="841"/>
      <c r="F213" s="841"/>
      <c r="G213" s="841"/>
      <c r="H213" s="841"/>
      <c r="I213" s="841"/>
      <c r="J213" s="841"/>
      <c r="K213" s="841"/>
      <c r="L213" s="841"/>
      <c r="M213" s="841"/>
      <c r="N213" s="841"/>
      <c r="O213" s="841"/>
      <c r="P213" s="841"/>
      <c r="Q213" s="841"/>
      <c r="R213" s="841"/>
      <c r="S213" s="841"/>
      <c r="T213" s="841"/>
      <c r="U213" s="841"/>
      <c r="V213" s="841"/>
      <c r="W213" s="841"/>
      <c r="X213" s="841"/>
      <c r="Y213" s="841"/>
      <c r="Z213" s="841"/>
    </row>
    <row r="214" spans="1:26" ht="12.75" customHeight="1" x14ac:dyDescent="0.3">
      <c r="A214" s="841"/>
      <c r="B214" s="841"/>
      <c r="C214" s="841"/>
      <c r="D214" s="841"/>
      <c r="E214" s="841"/>
      <c r="F214" s="841"/>
      <c r="G214" s="841"/>
      <c r="H214" s="841"/>
      <c r="I214" s="841"/>
      <c r="J214" s="841"/>
      <c r="K214" s="841"/>
      <c r="L214" s="841"/>
      <c r="M214" s="841"/>
      <c r="N214" s="841"/>
      <c r="O214" s="841"/>
      <c r="P214" s="841"/>
      <c r="Q214" s="841"/>
      <c r="R214" s="841"/>
      <c r="S214" s="841"/>
      <c r="T214" s="841"/>
      <c r="U214" s="841"/>
      <c r="V214" s="841"/>
      <c r="W214" s="841"/>
      <c r="X214" s="841"/>
      <c r="Y214" s="841"/>
      <c r="Z214" s="841"/>
    </row>
    <row r="215" spans="1:26" ht="12.75" customHeight="1" x14ac:dyDescent="0.3">
      <c r="A215" s="841"/>
      <c r="B215" s="841"/>
      <c r="C215" s="841"/>
      <c r="D215" s="841"/>
      <c r="E215" s="841"/>
      <c r="F215" s="841"/>
      <c r="G215" s="841"/>
      <c r="H215" s="841"/>
      <c r="I215" s="841"/>
      <c r="J215" s="841"/>
      <c r="K215" s="841"/>
      <c r="L215" s="841"/>
      <c r="M215" s="841"/>
      <c r="N215" s="841"/>
      <c r="O215" s="841"/>
      <c r="P215" s="841"/>
      <c r="Q215" s="841"/>
      <c r="R215" s="841"/>
      <c r="S215" s="841"/>
      <c r="T215" s="841"/>
      <c r="U215" s="841"/>
      <c r="V215" s="841"/>
      <c r="W215" s="841"/>
      <c r="X215" s="841"/>
      <c r="Y215" s="841"/>
      <c r="Z215" s="841"/>
    </row>
    <row r="216" spans="1:26" ht="12.75" customHeight="1" x14ac:dyDescent="0.3">
      <c r="A216" s="841"/>
      <c r="B216" s="841"/>
      <c r="C216" s="841"/>
      <c r="D216" s="841"/>
      <c r="E216" s="841"/>
      <c r="F216" s="841"/>
      <c r="G216" s="841"/>
      <c r="H216" s="841"/>
      <c r="I216" s="841"/>
      <c r="J216" s="841"/>
      <c r="K216" s="841"/>
      <c r="L216" s="841"/>
      <c r="M216" s="841"/>
      <c r="N216" s="841"/>
      <c r="O216" s="841"/>
      <c r="P216" s="841"/>
      <c r="Q216" s="841"/>
      <c r="R216" s="841"/>
      <c r="S216" s="841"/>
      <c r="T216" s="841"/>
      <c r="U216" s="841"/>
      <c r="V216" s="841"/>
      <c r="W216" s="841"/>
      <c r="X216" s="841"/>
      <c r="Y216" s="841"/>
      <c r="Z216" s="841"/>
    </row>
    <row r="217" spans="1:26" ht="12.75" customHeight="1" x14ac:dyDescent="0.3">
      <c r="A217" s="841"/>
      <c r="B217" s="841"/>
      <c r="C217" s="841"/>
      <c r="D217" s="841"/>
      <c r="E217" s="841"/>
      <c r="F217" s="841"/>
      <c r="G217" s="841"/>
      <c r="H217" s="841"/>
      <c r="I217" s="841"/>
      <c r="J217" s="841"/>
      <c r="K217" s="841"/>
      <c r="L217" s="841"/>
      <c r="M217" s="841"/>
      <c r="N217" s="841"/>
      <c r="O217" s="841"/>
      <c r="P217" s="841"/>
      <c r="Q217" s="841"/>
      <c r="R217" s="841"/>
      <c r="S217" s="841"/>
      <c r="T217" s="841"/>
      <c r="U217" s="841"/>
      <c r="V217" s="841"/>
      <c r="W217" s="841"/>
      <c r="X217" s="841"/>
      <c r="Y217" s="841"/>
      <c r="Z217" s="841"/>
    </row>
    <row r="218" spans="1:26" ht="12.75" customHeight="1" x14ac:dyDescent="0.3">
      <c r="A218" s="841"/>
      <c r="B218" s="841"/>
      <c r="C218" s="841"/>
      <c r="D218" s="841"/>
      <c r="E218" s="841"/>
      <c r="F218" s="841"/>
      <c r="G218" s="841"/>
      <c r="H218" s="841"/>
      <c r="I218" s="841"/>
      <c r="J218" s="841"/>
      <c r="K218" s="841"/>
      <c r="L218" s="841"/>
      <c r="M218" s="841"/>
      <c r="N218" s="841"/>
      <c r="O218" s="841"/>
      <c r="P218" s="841"/>
      <c r="Q218" s="841"/>
      <c r="R218" s="841"/>
      <c r="S218" s="841"/>
      <c r="T218" s="841"/>
      <c r="U218" s="841"/>
      <c r="V218" s="841"/>
      <c r="W218" s="841"/>
      <c r="X218" s="841"/>
      <c r="Y218" s="841"/>
      <c r="Z218" s="841"/>
    </row>
    <row r="219" spans="1:26" ht="12.75" customHeight="1" x14ac:dyDescent="0.3">
      <c r="A219" s="841"/>
      <c r="B219" s="841"/>
      <c r="C219" s="841"/>
      <c r="D219" s="841"/>
      <c r="E219" s="841"/>
      <c r="F219" s="841"/>
      <c r="G219" s="841"/>
      <c r="H219" s="841"/>
      <c r="I219" s="841"/>
      <c r="J219" s="841"/>
      <c r="K219" s="841"/>
      <c r="L219" s="841"/>
      <c r="M219" s="841"/>
      <c r="N219" s="841"/>
      <c r="O219" s="841"/>
      <c r="P219" s="841"/>
      <c r="Q219" s="841"/>
      <c r="R219" s="841"/>
      <c r="S219" s="841"/>
      <c r="T219" s="841"/>
      <c r="U219" s="841"/>
      <c r="V219" s="841"/>
      <c r="W219" s="841"/>
      <c r="X219" s="841"/>
      <c r="Y219" s="841"/>
      <c r="Z219" s="841"/>
    </row>
    <row r="220" spans="1:26" ht="12.75" customHeight="1" x14ac:dyDescent="0.3">
      <c r="A220" s="841"/>
      <c r="B220" s="841"/>
      <c r="C220" s="841"/>
      <c r="D220" s="841"/>
      <c r="E220" s="841"/>
      <c r="F220" s="841"/>
      <c r="G220" s="841"/>
      <c r="H220" s="841"/>
      <c r="I220" s="841"/>
      <c r="J220" s="841"/>
      <c r="K220" s="841"/>
      <c r="L220" s="841"/>
      <c r="M220" s="841"/>
      <c r="N220" s="841"/>
      <c r="O220" s="841"/>
      <c r="P220" s="841"/>
      <c r="Q220" s="841"/>
      <c r="R220" s="841"/>
      <c r="S220" s="841"/>
      <c r="T220" s="841"/>
      <c r="U220" s="841"/>
      <c r="V220" s="841"/>
      <c r="W220" s="841"/>
      <c r="X220" s="841"/>
      <c r="Y220" s="841"/>
      <c r="Z220" s="841"/>
    </row>
    <row r="221" spans="1:26" ht="12.75" customHeight="1" x14ac:dyDescent="0.3">
      <c r="A221" s="841"/>
      <c r="B221" s="841"/>
      <c r="C221" s="841"/>
      <c r="D221" s="841"/>
      <c r="E221" s="841"/>
      <c r="F221" s="841"/>
      <c r="G221" s="841"/>
      <c r="H221" s="841"/>
      <c r="I221" s="841"/>
      <c r="J221" s="841"/>
      <c r="K221" s="841"/>
      <c r="L221" s="841"/>
      <c r="M221" s="841"/>
      <c r="N221" s="841"/>
      <c r="O221" s="841"/>
      <c r="P221" s="841"/>
      <c r="Q221" s="841"/>
      <c r="R221" s="841"/>
      <c r="S221" s="841"/>
      <c r="T221" s="841"/>
      <c r="U221" s="841"/>
      <c r="V221" s="841"/>
      <c r="W221" s="841"/>
      <c r="X221" s="841"/>
      <c r="Y221" s="841"/>
      <c r="Z221" s="841"/>
    </row>
    <row r="222" spans="1:26" ht="12.75" customHeight="1" x14ac:dyDescent="0.3">
      <c r="A222" s="841"/>
      <c r="B222" s="841"/>
      <c r="C222" s="841"/>
      <c r="D222" s="841"/>
      <c r="E222" s="841"/>
      <c r="F222" s="841"/>
      <c r="G222" s="841"/>
      <c r="H222" s="841"/>
      <c r="I222" s="841"/>
      <c r="J222" s="841"/>
      <c r="K222" s="841"/>
      <c r="L222" s="841"/>
      <c r="M222" s="841"/>
      <c r="N222" s="841"/>
      <c r="O222" s="841"/>
      <c r="P222" s="841"/>
      <c r="Q222" s="841"/>
      <c r="R222" s="841"/>
      <c r="S222" s="841"/>
      <c r="T222" s="841"/>
      <c r="U222" s="841"/>
      <c r="V222" s="841"/>
      <c r="W222" s="841"/>
      <c r="X222" s="841"/>
      <c r="Y222" s="841"/>
      <c r="Z222" s="841"/>
    </row>
    <row r="223" spans="1:26" ht="12.75" customHeight="1" x14ac:dyDescent="0.3">
      <c r="A223" s="841"/>
      <c r="B223" s="841"/>
      <c r="C223" s="841"/>
      <c r="D223" s="841"/>
      <c r="E223" s="841"/>
      <c r="F223" s="841"/>
      <c r="G223" s="841"/>
      <c r="H223" s="841"/>
      <c r="I223" s="841"/>
      <c r="J223" s="841"/>
      <c r="K223" s="841"/>
      <c r="L223" s="841"/>
      <c r="M223" s="841"/>
      <c r="N223" s="841"/>
      <c r="O223" s="841"/>
      <c r="P223" s="841"/>
      <c r="Q223" s="841"/>
      <c r="R223" s="841"/>
      <c r="S223" s="841"/>
      <c r="T223" s="841"/>
      <c r="U223" s="841"/>
      <c r="V223" s="841"/>
      <c r="W223" s="841"/>
      <c r="X223" s="841"/>
      <c r="Y223" s="841"/>
      <c r="Z223" s="841"/>
    </row>
    <row r="224" spans="1:26" ht="12.75" customHeight="1" x14ac:dyDescent="0.3">
      <c r="A224" s="841"/>
      <c r="B224" s="841"/>
      <c r="C224" s="841"/>
      <c r="D224" s="841"/>
      <c r="E224" s="841"/>
      <c r="F224" s="841"/>
      <c r="G224" s="841"/>
      <c r="H224" s="841"/>
      <c r="I224" s="841"/>
      <c r="J224" s="841"/>
      <c r="K224" s="841"/>
      <c r="L224" s="841"/>
      <c r="M224" s="841"/>
      <c r="N224" s="841"/>
      <c r="O224" s="841"/>
      <c r="P224" s="841"/>
      <c r="Q224" s="841"/>
      <c r="R224" s="841"/>
      <c r="S224" s="841"/>
      <c r="T224" s="841"/>
      <c r="U224" s="841"/>
      <c r="V224" s="841"/>
      <c r="W224" s="841"/>
      <c r="X224" s="841"/>
      <c r="Y224" s="841"/>
      <c r="Z224" s="841"/>
    </row>
    <row r="225" spans="1:26" ht="12.75" customHeight="1" x14ac:dyDescent="0.3">
      <c r="A225" s="841"/>
      <c r="B225" s="841"/>
      <c r="C225" s="841"/>
      <c r="D225" s="841"/>
      <c r="E225" s="841"/>
      <c r="F225" s="841"/>
      <c r="G225" s="841"/>
      <c r="H225" s="841"/>
      <c r="I225" s="841"/>
      <c r="J225" s="841"/>
      <c r="K225" s="841"/>
      <c r="L225" s="841"/>
      <c r="M225" s="841"/>
      <c r="N225" s="841"/>
      <c r="O225" s="841"/>
      <c r="P225" s="841"/>
      <c r="Q225" s="841"/>
      <c r="R225" s="841"/>
      <c r="S225" s="841"/>
      <c r="T225" s="841"/>
      <c r="U225" s="841"/>
      <c r="V225" s="841"/>
      <c r="W225" s="841"/>
      <c r="X225" s="841"/>
      <c r="Y225" s="841"/>
      <c r="Z225" s="841"/>
    </row>
    <row r="226" spans="1:26" ht="12.75" customHeight="1" x14ac:dyDescent="0.3">
      <c r="A226" s="841"/>
      <c r="B226" s="841"/>
      <c r="C226" s="841"/>
      <c r="D226" s="841"/>
      <c r="E226" s="841"/>
      <c r="F226" s="841"/>
      <c r="G226" s="841"/>
      <c r="H226" s="841"/>
      <c r="I226" s="841"/>
      <c r="J226" s="841"/>
      <c r="K226" s="841"/>
      <c r="L226" s="841"/>
      <c r="M226" s="841"/>
      <c r="N226" s="841"/>
      <c r="O226" s="841"/>
      <c r="P226" s="841"/>
      <c r="Q226" s="841"/>
      <c r="R226" s="841"/>
      <c r="S226" s="841"/>
      <c r="T226" s="841"/>
      <c r="U226" s="841"/>
      <c r="V226" s="841"/>
      <c r="W226" s="841"/>
      <c r="X226" s="841"/>
      <c r="Y226" s="841"/>
      <c r="Z226" s="841"/>
    </row>
    <row r="227" spans="1:26" ht="12.75" customHeight="1" x14ac:dyDescent="0.3">
      <c r="A227" s="841"/>
      <c r="B227" s="841"/>
      <c r="C227" s="841"/>
      <c r="D227" s="841"/>
      <c r="E227" s="841"/>
      <c r="F227" s="841"/>
      <c r="G227" s="841"/>
      <c r="H227" s="841"/>
      <c r="I227" s="841"/>
      <c r="J227" s="841"/>
      <c r="K227" s="841"/>
      <c r="L227" s="841"/>
      <c r="M227" s="841"/>
      <c r="N227" s="841"/>
      <c r="O227" s="841"/>
      <c r="P227" s="841"/>
      <c r="Q227" s="841"/>
      <c r="R227" s="841"/>
      <c r="S227" s="841"/>
      <c r="T227" s="841"/>
      <c r="U227" s="841"/>
      <c r="V227" s="841"/>
      <c r="W227" s="841"/>
      <c r="X227" s="841"/>
      <c r="Y227" s="841"/>
      <c r="Z227" s="841"/>
    </row>
    <row r="228" spans="1:26" ht="12.75" customHeight="1" x14ac:dyDescent="0.3">
      <c r="A228" s="841"/>
      <c r="B228" s="841"/>
      <c r="C228" s="841"/>
      <c r="D228" s="841"/>
      <c r="E228" s="841"/>
      <c r="F228" s="841"/>
      <c r="G228" s="841"/>
      <c r="H228" s="841"/>
      <c r="I228" s="841"/>
      <c r="J228" s="841"/>
      <c r="K228" s="841"/>
      <c r="L228" s="841"/>
      <c r="M228" s="841"/>
      <c r="N228" s="841"/>
      <c r="O228" s="841"/>
      <c r="P228" s="841"/>
      <c r="Q228" s="841"/>
      <c r="R228" s="841"/>
      <c r="S228" s="841"/>
      <c r="T228" s="841"/>
      <c r="U228" s="841"/>
      <c r="V228" s="841"/>
      <c r="W228" s="841"/>
      <c r="X228" s="841"/>
      <c r="Y228" s="841"/>
      <c r="Z228" s="841"/>
    </row>
    <row r="229" spans="1:26" ht="12.75" customHeight="1" x14ac:dyDescent="0.3">
      <c r="A229" s="841"/>
      <c r="B229" s="841"/>
      <c r="C229" s="841"/>
      <c r="D229" s="841"/>
      <c r="E229" s="841"/>
      <c r="F229" s="841"/>
      <c r="G229" s="841"/>
      <c r="H229" s="841"/>
      <c r="I229" s="841"/>
      <c r="J229" s="841"/>
      <c r="K229" s="841"/>
      <c r="L229" s="841"/>
      <c r="M229" s="841"/>
      <c r="N229" s="841"/>
      <c r="O229" s="841"/>
      <c r="P229" s="841"/>
      <c r="Q229" s="841"/>
      <c r="R229" s="841"/>
      <c r="S229" s="841"/>
      <c r="T229" s="841"/>
      <c r="U229" s="841"/>
      <c r="V229" s="841"/>
      <c r="W229" s="841"/>
      <c r="X229" s="841"/>
      <c r="Y229" s="841"/>
      <c r="Z229" s="841"/>
    </row>
    <row r="230" spans="1:26" ht="12.75" customHeight="1" x14ac:dyDescent="0.3">
      <c r="A230" s="841"/>
      <c r="B230" s="841"/>
      <c r="C230" s="841"/>
      <c r="D230" s="841"/>
      <c r="E230" s="841"/>
      <c r="F230" s="841"/>
      <c r="G230" s="841"/>
      <c r="H230" s="841"/>
      <c r="I230" s="841"/>
      <c r="J230" s="841"/>
      <c r="K230" s="841"/>
      <c r="L230" s="841"/>
      <c r="M230" s="841"/>
      <c r="N230" s="841"/>
      <c r="O230" s="841"/>
      <c r="P230" s="841"/>
      <c r="Q230" s="841"/>
      <c r="R230" s="841"/>
      <c r="S230" s="841"/>
      <c r="T230" s="841"/>
      <c r="U230" s="841"/>
      <c r="V230" s="841"/>
      <c r="W230" s="841"/>
      <c r="X230" s="841"/>
      <c r="Y230" s="841"/>
      <c r="Z230" s="841"/>
    </row>
    <row r="231" spans="1:26" ht="12.75" customHeight="1" x14ac:dyDescent="0.3">
      <c r="A231" s="841"/>
      <c r="B231" s="841"/>
      <c r="C231" s="841"/>
      <c r="D231" s="841"/>
      <c r="E231" s="841"/>
      <c r="F231" s="841"/>
      <c r="G231" s="841"/>
      <c r="H231" s="841"/>
      <c r="I231" s="841"/>
      <c r="J231" s="841"/>
      <c r="K231" s="841"/>
      <c r="L231" s="841"/>
      <c r="M231" s="841"/>
      <c r="N231" s="841"/>
      <c r="O231" s="841"/>
      <c r="P231" s="841"/>
      <c r="Q231" s="841"/>
      <c r="R231" s="841"/>
      <c r="S231" s="841"/>
      <c r="T231" s="841"/>
      <c r="U231" s="841"/>
      <c r="V231" s="841"/>
      <c r="W231" s="841"/>
      <c r="X231" s="841"/>
      <c r="Y231" s="841"/>
      <c r="Z231" s="841"/>
    </row>
    <row r="232" spans="1:26" ht="12.75" customHeight="1" x14ac:dyDescent="0.3">
      <c r="A232" s="841"/>
      <c r="B232" s="841"/>
      <c r="C232" s="841"/>
      <c r="D232" s="841"/>
      <c r="E232" s="841"/>
      <c r="F232" s="841"/>
      <c r="G232" s="841"/>
      <c r="H232" s="841"/>
      <c r="I232" s="841"/>
      <c r="J232" s="841"/>
      <c r="K232" s="841"/>
      <c r="L232" s="841"/>
      <c r="M232" s="841"/>
      <c r="N232" s="841"/>
      <c r="O232" s="841"/>
      <c r="P232" s="841"/>
      <c r="Q232" s="841"/>
      <c r="R232" s="841"/>
      <c r="S232" s="841"/>
      <c r="T232" s="841"/>
      <c r="U232" s="841"/>
      <c r="V232" s="841"/>
      <c r="W232" s="841"/>
      <c r="X232" s="841"/>
      <c r="Y232" s="841"/>
      <c r="Z232" s="841"/>
    </row>
    <row r="233" spans="1:26" ht="12.75" customHeight="1" x14ac:dyDescent="0.3">
      <c r="A233" s="841"/>
      <c r="B233" s="841"/>
      <c r="C233" s="841"/>
      <c r="D233" s="841"/>
      <c r="E233" s="841"/>
      <c r="F233" s="841"/>
      <c r="G233" s="841"/>
      <c r="H233" s="841"/>
      <c r="I233" s="841"/>
      <c r="J233" s="841"/>
      <c r="K233" s="841"/>
      <c r="L233" s="841"/>
      <c r="M233" s="841"/>
      <c r="N233" s="841"/>
      <c r="O233" s="841"/>
      <c r="P233" s="841"/>
      <c r="Q233" s="841"/>
      <c r="R233" s="841"/>
      <c r="S233" s="841"/>
      <c r="T233" s="841"/>
      <c r="U233" s="841"/>
      <c r="V233" s="841"/>
      <c r="W233" s="841"/>
      <c r="X233" s="841"/>
      <c r="Y233" s="841"/>
      <c r="Z233" s="84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000"/>
  <sheetViews>
    <sheetView workbookViewId="0"/>
  </sheetViews>
  <sheetFormatPr baseColWidth="10" defaultColWidth="14.3984375" defaultRowHeight="15" customHeight="1" x14ac:dyDescent="0.3"/>
  <cols>
    <col min="1" max="1" width="46.296875" customWidth="1"/>
    <col min="2" max="2" width="68.296875" customWidth="1"/>
    <col min="3" max="6" width="10" customWidth="1"/>
    <col min="7" max="7" width="13.69921875" customWidth="1"/>
    <col min="8" max="10" width="10" customWidth="1"/>
    <col min="11" max="11" width="47.296875" customWidth="1"/>
    <col min="12" max="26" width="17.296875" customWidth="1"/>
  </cols>
  <sheetData>
    <row r="1" spans="1:11" ht="12.75" customHeight="1" x14ac:dyDescent="0.3">
      <c r="A1" s="940" t="s">
        <v>752</v>
      </c>
      <c r="B1" s="940" t="s">
        <v>631</v>
      </c>
      <c r="C1" s="940"/>
      <c r="D1" s="940">
        <v>2014</v>
      </c>
      <c r="E1" s="940"/>
      <c r="F1" s="940">
        <v>2015</v>
      </c>
      <c r="G1" s="940"/>
      <c r="H1" s="940">
        <v>2016</v>
      </c>
      <c r="I1" s="940"/>
      <c r="J1" s="940">
        <v>2017</v>
      </c>
      <c r="K1" s="940" t="s">
        <v>617</v>
      </c>
    </row>
    <row r="2" spans="1:11" ht="15" customHeight="1" x14ac:dyDescent="0.35">
      <c r="A2" s="632" t="s">
        <v>10</v>
      </c>
      <c r="B2" s="834" t="s">
        <v>753</v>
      </c>
      <c r="C2" s="834"/>
      <c r="D2" s="834">
        <f>171505</f>
        <v>171505</v>
      </c>
      <c r="E2" s="834"/>
      <c r="F2" s="941">
        <v>410002</v>
      </c>
      <c r="G2" s="834"/>
      <c r="H2" s="941">
        <v>152905</v>
      </c>
      <c r="I2" s="834">
        <f>(D2+F3+H2)/3</f>
        <v>156824</v>
      </c>
      <c r="J2" s="941">
        <v>160000</v>
      </c>
      <c r="K2" s="834" t="s">
        <v>754</v>
      </c>
    </row>
    <row r="3" spans="1:11" ht="12.75" customHeight="1" x14ac:dyDescent="0.3">
      <c r="A3" s="841"/>
      <c r="B3" s="834"/>
      <c r="C3" s="834"/>
      <c r="D3" s="834"/>
      <c r="E3" s="834"/>
      <c r="F3" s="834">
        <v>146062</v>
      </c>
      <c r="G3" s="834"/>
      <c r="H3" s="834"/>
      <c r="I3" s="834"/>
      <c r="J3" s="834"/>
      <c r="K3" s="834"/>
    </row>
    <row r="4" spans="1:11" ht="26.25" customHeight="1" x14ac:dyDescent="0.35">
      <c r="A4" s="632" t="s">
        <v>755</v>
      </c>
      <c r="B4" s="942" t="s">
        <v>756</v>
      </c>
      <c r="C4" s="834"/>
      <c r="D4" s="941">
        <v>394580</v>
      </c>
      <c r="E4" s="834"/>
      <c r="F4" s="941">
        <v>478454</v>
      </c>
      <c r="G4" s="834"/>
      <c r="H4" s="941">
        <v>492885</v>
      </c>
      <c r="I4" s="943">
        <f>SUM(D4:H4)/3</f>
        <v>455306.33333333331</v>
      </c>
      <c r="J4" s="834"/>
      <c r="K4" s="834"/>
    </row>
    <row r="5" spans="1:11" ht="12.75" customHeight="1" x14ac:dyDescent="0.3">
      <c r="A5" s="841"/>
      <c r="B5" s="841"/>
      <c r="C5" s="118"/>
      <c r="D5" s="118"/>
      <c r="E5" s="118"/>
      <c r="F5" s="118"/>
      <c r="G5" s="841"/>
      <c r="H5" s="118"/>
      <c r="I5" s="944"/>
      <c r="J5" s="118"/>
      <c r="K5" s="841"/>
    </row>
    <row r="6" spans="1:11" ht="39" customHeight="1" x14ac:dyDescent="0.35">
      <c r="A6" s="632" t="s">
        <v>757</v>
      </c>
      <c r="B6" s="841"/>
      <c r="C6" s="118"/>
      <c r="D6" s="924">
        <v>100000</v>
      </c>
      <c r="E6" s="118"/>
      <c r="F6" s="924">
        <v>50000</v>
      </c>
      <c r="G6" s="841"/>
      <c r="H6" s="924">
        <v>120000</v>
      </c>
      <c r="I6" s="944">
        <f>SUM(D6:H6)/3</f>
        <v>90000</v>
      </c>
      <c r="J6" s="118"/>
      <c r="K6" s="937" t="s">
        <v>758</v>
      </c>
    </row>
    <row r="7" spans="1:11" ht="12.75" customHeight="1" x14ac:dyDescent="0.3">
      <c r="A7" s="841"/>
      <c r="B7" s="841"/>
      <c r="C7" s="118"/>
      <c r="D7" s="118"/>
      <c r="E7" s="841" t="s">
        <v>759</v>
      </c>
      <c r="F7" s="841">
        <v>47267</v>
      </c>
      <c r="G7" s="841" t="s">
        <v>760</v>
      </c>
      <c r="H7" s="118"/>
      <c r="I7" s="944"/>
      <c r="J7" s="924">
        <v>130000</v>
      </c>
      <c r="K7" s="841" t="s">
        <v>761</v>
      </c>
    </row>
    <row r="8" spans="1:11" ht="12.75" customHeight="1" x14ac:dyDescent="0.3">
      <c r="A8" s="841"/>
      <c r="B8" s="841"/>
      <c r="C8" s="118"/>
      <c r="D8" s="118"/>
      <c r="E8" s="118"/>
      <c r="F8" s="118"/>
      <c r="G8" s="841" t="s">
        <v>762</v>
      </c>
      <c r="H8" s="841">
        <v>88190</v>
      </c>
      <c r="I8" s="944"/>
      <c r="J8" s="118"/>
      <c r="K8" s="841"/>
    </row>
    <row r="9" spans="1:11" ht="26.25" customHeight="1" x14ac:dyDescent="0.35">
      <c r="A9" s="824" t="s">
        <v>25</v>
      </c>
      <c r="B9" s="824"/>
      <c r="C9" s="834">
        <v>2842</v>
      </c>
      <c r="D9" s="834">
        <f>C9*$B$10</f>
        <v>0</v>
      </c>
      <c r="E9" s="834">
        <v>3052</v>
      </c>
      <c r="F9" s="834">
        <f>E9*$B$10</f>
        <v>0</v>
      </c>
      <c r="G9" s="834">
        <v>2905</v>
      </c>
      <c r="H9" s="834">
        <f>G9*B10</f>
        <v>0</v>
      </c>
      <c r="I9" s="944">
        <f>SUM(D9:H9)/3</f>
        <v>1985.6666666666667</v>
      </c>
      <c r="J9" s="834"/>
      <c r="K9" s="942" t="s">
        <v>763</v>
      </c>
    </row>
    <row r="10" spans="1:11" ht="12.75" customHeight="1" x14ac:dyDescent="0.3">
      <c r="A10" s="842">
        <v>50</v>
      </c>
      <c r="B10" s="842"/>
      <c r="C10" s="118"/>
      <c r="D10" s="118"/>
      <c r="E10" s="118"/>
      <c r="F10" s="118"/>
      <c r="G10" s="841"/>
      <c r="H10" s="118"/>
      <c r="I10" s="118"/>
      <c r="J10" s="118"/>
      <c r="K10" s="841"/>
    </row>
    <row r="11" spans="1:11" ht="15" customHeight="1" x14ac:dyDescent="0.35">
      <c r="A11" s="824" t="s">
        <v>764</v>
      </c>
      <c r="B11" s="824"/>
      <c r="C11" s="834"/>
      <c r="D11" s="834"/>
      <c r="E11" s="834"/>
      <c r="F11" s="834"/>
      <c r="G11" s="834"/>
      <c r="H11" s="945">
        <v>475000</v>
      </c>
      <c r="I11" s="834"/>
      <c r="J11" s="941">
        <v>500000</v>
      </c>
      <c r="K11" s="834" t="s">
        <v>765</v>
      </c>
    </row>
    <row r="12" spans="1:11" ht="39" customHeight="1" x14ac:dyDescent="0.35">
      <c r="A12" s="841"/>
      <c r="B12" s="841"/>
      <c r="C12" s="118"/>
      <c r="D12" s="118"/>
      <c r="E12" s="118"/>
      <c r="F12" s="617">
        <v>616025</v>
      </c>
      <c r="G12" s="841" t="s">
        <v>51</v>
      </c>
      <c r="H12" s="617">
        <v>811835</v>
      </c>
      <c r="I12" s="118"/>
      <c r="J12" s="118"/>
      <c r="K12" s="937" t="s">
        <v>766</v>
      </c>
    </row>
    <row r="13" spans="1:11" ht="15" customHeight="1" x14ac:dyDescent="0.35">
      <c r="A13" s="841"/>
      <c r="B13" s="841"/>
      <c r="C13" s="118"/>
      <c r="D13" s="118"/>
      <c r="E13" s="118"/>
      <c r="F13" s="617">
        <v>482219</v>
      </c>
      <c r="G13" s="841"/>
      <c r="H13" s="617">
        <f>H12-(H12*H15)</f>
        <v>527692.75</v>
      </c>
      <c r="I13" s="118"/>
      <c r="J13" s="118"/>
      <c r="K13" s="841" t="s">
        <v>767</v>
      </c>
    </row>
    <row r="14" spans="1:11" ht="15" customHeight="1" x14ac:dyDescent="0.35">
      <c r="A14" s="841"/>
      <c r="B14" s="841"/>
      <c r="C14" s="118"/>
      <c r="D14" s="118"/>
      <c r="E14" s="118"/>
      <c r="F14" s="617">
        <f>F12-F13</f>
        <v>133806</v>
      </c>
      <c r="G14" s="841"/>
      <c r="H14" s="617"/>
      <c r="I14" s="118"/>
      <c r="J14" s="118"/>
      <c r="K14" s="841"/>
    </row>
    <row r="15" spans="1:11" ht="15" customHeight="1" x14ac:dyDescent="0.35">
      <c r="A15" s="841"/>
      <c r="B15" s="841" t="s">
        <v>768</v>
      </c>
      <c r="C15" s="118"/>
      <c r="D15" s="118"/>
      <c r="E15" s="118"/>
      <c r="F15" s="592">
        <f>F14/F12</f>
        <v>0.21720871717868592</v>
      </c>
      <c r="G15" s="841"/>
      <c r="H15" s="910">
        <v>0.35</v>
      </c>
      <c r="I15" s="118"/>
      <c r="J15" s="118"/>
      <c r="K15" s="841"/>
    </row>
    <row r="16" spans="1:11" ht="12.75" customHeight="1" x14ac:dyDescent="0.3">
      <c r="A16" s="841"/>
      <c r="B16" s="841"/>
      <c r="C16" s="118"/>
      <c r="D16" s="118"/>
      <c r="E16" s="118"/>
      <c r="F16" s="118"/>
      <c r="G16" s="841"/>
      <c r="H16" s="118"/>
      <c r="I16" s="118"/>
      <c r="J16" s="118"/>
      <c r="K16" s="841"/>
    </row>
    <row r="17" spans="1:11" ht="12.75" customHeight="1" x14ac:dyDescent="0.3">
      <c r="A17" s="841"/>
      <c r="B17" s="841"/>
      <c r="C17" s="118"/>
      <c r="D17" s="118"/>
      <c r="E17" s="118"/>
      <c r="F17" s="118"/>
      <c r="G17" s="841"/>
      <c r="H17" s="118"/>
      <c r="I17" s="118"/>
      <c r="J17" s="118"/>
      <c r="K17" s="841"/>
    </row>
    <row r="18" spans="1:11" ht="15" customHeight="1" x14ac:dyDescent="0.35">
      <c r="A18" s="839" t="s">
        <v>170</v>
      </c>
      <c r="B18" s="839" t="s">
        <v>769</v>
      </c>
      <c r="C18" s="834"/>
      <c r="D18" s="834">
        <v>20</v>
      </c>
      <c r="E18" s="834"/>
      <c r="F18" s="834">
        <v>20</v>
      </c>
      <c r="G18" s="834"/>
      <c r="H18" s="834">
        <v>21</v>
      </c>
      <c r="I18" s="834">
        <v>1.05</v>
      </c>
      <c r="J18" s="943">
        <f>H18*I18</f>
        <v>22.05</v>
      </c>
      <c r="K18" s="834"/>
    </row>
    <row r="19" spans="1:11" ht="15" customHeight="1" x14ac:dyDescent="0.35">
      <c r="A19" s="841"/>
      <c r="B19" s="126"/>
      <c r="C19" s="841"/>
      <c r="D19" s="841"/>
      <c r="E19" s="841"/>
      <c r="F19" s="841"/>
      <c r="G19" s="841">
        <v>1616</v>
      </c>
      <c r="H19" s="841">
        <f>H18*G19</f>
        <v>33936</v>
      </c>
      <c r="I19" s="841"/>
      <c r="J19" s="841">
        <f>J18*G19</f>
        <v>35632.800000000003</v>
      </c>
      <c r="K19" s="946" t="s">
        <v>770</v>
      </c>
    </row>
    <row r="20" spans="1:11" ht="15" customHeight="1" x14ac:dyDescent="0.35">
      <c r="A20" s="841" t="s">
        <v>771</v>
      </c>
      <c r="B20" s="126" t="s">
        <v>772</v>
      </c>
      <c r="C20" s="841"/>
      <c r="D20" s="841"/>
      <c r="E20" s="841"/>
      <c r="F20" s="841"/>
      <c r="G20" s="841"/>
      <c r="H20" s="841"/>
      <c r="I20" s="841"/>
      <c r="J20" s="841"/>
      <c r="K20" s="841"/>
    </row>
    <row r="21" spans="1:11" ht="15" customHeight="1" x14ac:dyDescent="0.35">
      <c r="A21" s="841"/>
      <c r="B21" s="126" t="s">
        <v>773</v>
      </c>
      <c r="C21" s="118"/>
      <c r="D21" s="118"/>
      <c r="E21" s="118"/>
      <c r="F21" s="118"/>
      <c r="G21" s="841"/>
      <c r="H21" s="118"/>
      <c r="I21" s="118"/>
      <c r="J21" s="118"/>
      <c r="K21" s="841"/>
    </row>
    <row r="22" spans="1:11" ht="15" customHeight="1" x14ac:dyDescent="0.35">
      <c r="A22" s="841"/>
      <c r="B22" s="126" t="s">
        <v>774</v>
      </c>
      <c r="C22" s="118"/>
      <c r="D22" s="118"/>
      <c r="E22" s="118"/>
      <c r="F22" s="118"/>
      <c r="G22" s="924"/>
      <c r="H22" s="118"/>
      <c r="I22" s="118"/>
      <c r="J22" s="118"/>
      <c r="K22" s="841"/>
    </row>
    <row r="23" spans="1:11" ht="15" customHeight="1" x14ac:dyDescent="0.35">
      <c r="A23" s="841"/>
      <c r="B23" s="126" t="s">
        <v>775</v>
      </c>
      <c r="C23" s="118"/>
      <c r="D23" s="118"/>
      <c r="E23" s="118"/>
      <c r="F23" s="118"/>
      <c r="G23" s="841"/>
      <c r="H23" s="118"/>
      <c r="I23" s="118"/>
      <c r="J23" s="118"/>
      <c r="K23" s="841"/>
    </row>
    <row r="24" spans="1:11" ht="15" customHeight="1" x14ac:dyDescent="0.35">
      <c r="A24" s="841"/>
      <c r="B24" s="126" t="s">
        <v>776</v>
      </c>
      <c r="C24" s="118"/>
      <c r="D24" s="118"/>
      <c r="E24" s="118"/>
      <c r="F24" s="118"/>
      <c r="G24" s="841"/>
      <c r="H24" s="118"/>
      <c r="I24" s="118"/>
      <c r="J24" s="118"/>
      <c r="K24" s="841"/>
    </row>
    <row r="25" spans="1:11" ht="15" customHeight="1" x14ac:dyDescent="0.35">
      <c r="A25" s="841"/>
      <c r="B25" s="126" t="s">
        <v>777</v>
      </c>
      <c r="C25" s="118"/>
      <c r="D25" s="118"/>
      <c r="E25" s="118"/>
      <c r="F25" s="118"/>
      <c r="G25" s="841"/>
      <c r="H25" s="118"/>
      <c r="I25" s="118"/>
      <c r="J25" s="118"/>
      <c r="K25" s="841"/>
    </row>
    <row r="26" spans="1:11" ht="51.75" customHeight="1" x14ac:dyDescent="0.35">
      <c r="A26" s="937" t="s">
        <v>778</v>
      </c>
      <c r="B26" s="654" t="s">
        <v>779</v>
      </c>
      <c r="C26" s="118"/>
      <c r="D26" s="118"/>
      <c r="E26" s="118"/>
      <c r="F26" s="118"/>
      <c r="G26" s="841"/>
      <c r="H26" s="118"/>
      <c r="I26" s="118"/>
      <c r="J26" s="118"/>
      <c r="K26" s="841"/>
    </row>
    <row r="27" spans="1:11" ht="15" customHeight="1" x14ac:dyDescent="0.35">
      <c r="A27" s="126" t="s">
        <v>780</v>
      </c>
      <c r="B27" s="126"/>
      <c r="C27" s="118"/>
      <c r="D27" s="118"/>
      <c r="E27" s="118"/>
      <c r="F27" s="118"/>
      <c r="G27" s="841"/>
      <c r="H27" s="118"/>
      <c r="I27" s="118"/>
      <c r="J27" s="118"/>
      <c r="K27" s="946" t="s">
        <v>770</v>
      </c>
    </row>
    <row r="28" spans="1:11" ht="12.75" customHeight="1" x14ac:dyDescent="0.3">
      <c r="A28" s="841"/>
      <c r="B28" s="841"/>
      <c r="C28" s="118"/>
      <c r="D28" s="118"/>
      <c r="E28" s="118"/>
      <c r="F28" s="118"/>
      <c r="G28" s="841"/>
      <c r="H28" s="118"/>
      <c r="I28" s="118"/>
      <c r="J28" s="118"/>
      <c r="K28" s="841"/>
    </row>
    <row r="29" spans="1:11" ht="12.75" customHeight="1" x14ac:dyDescent="0.3">
      <c r="A29" s="841"/>
      <c r="B29" s="841"/>
      <c r="C29" s="118"/>
      <c r="D29" s="118"/>
      <c r="E29" s="118"/>
      <c r="F29" s="118"/>
      <c r="G29" s="841"/>
      <c r="H29" s="118"/>
      <c r="I29" s="118"/>
      <c r="J29" s="118"/>
      <c r="K29" s="841"/>
    </row>
    <row r="30" spans="1:11" ht="39" customHeight="1" x14ac:dyDescent="0.35">
      <c r="A30" s="824" t="s">
        <v>781</v>
      </c>
      <c r="B30" s="942" t="s">
        <v>782</v>
      </c>
      <c r="C30" s="834"/>
      <c r="D30" s="834"/>
      <c r="E30" s="834"/>
      <c r="F30" s="834"/>
      <c r="G30" s="834"/>
      <c r="H30" s="834"/>
      <c r="I30" s="834"/>
      <c r="J30" s="834"/>
      <c r="K30" s="834"/>
    </row>
    <row r="31" spans="1:11" ht="26.25" customHeight="1" x14ac:dyDescent="0.35">
      <c r="A31" s="824" t="s">
        <v>783</v>
      </c>
      <c r="B31" s="942" t="s">
        <v>784</v>
      </c>
      <c r="C31" s="834"/>
      <c r="D31" s="834"/>
      <c r="E31" s="834"/>
      <c r="F31" s="834"/>
      <c r="G31" s="834"/>
      <c r="H31" s="947">
        <v>19000</v>
      </c>
      <c r="I31" s="834">
        <v>17500</v>
      </c>
      <c r="J31" s="834"/>
      <c r="K31" s="942" t="s">
        <v>785</v>
      </c>
    </row>
    <row r="32" spans="1:11" ht="15" customHeight="1" x14ac:dyDescent="0.35">
      <c r="A32" s="824" t="s">
        <v>143</v>
      </c>
      <c r="B32" s="834"/>
      <c r="C32" s="834"/>
      <c r="D32" s="834"/>
      <c r="E32" s="834"/>
      <c r="F32" s="834"/>
      <c r="G32" s="834"/>
      <c r="H32" s="834">
        <v>5000</v>
      </c>
      <c r="I32" s="834">
        <f>5*2000+1*5000</f>
        <v>15000</v>
      </c>
      <c r="J32" s="834">
        <v>15000</v>
      </c>
      <c r="K32" s="942" t="s">
        <v>786</v>
      </c>
    </row>
    <row r="33" spans="1:11" ht="39" customHeight="1" x14ac:dyDescent="0.35">
      <c r="A33" s="824" t="s">
        <v>150</v>
      </c>
      <c r="B33" s="834"/>
      <c r="C33" s="834"/>
      <c r="D33" s="834"/>
      <c r="E33" s="834"/>
      <c r="F33" s="834"/>
      <c r="G33" s="834"/>
      <c r="H33" s="834"/>
      <c r="I33" s="834">
        <f>250*4+3*1500+1*4000+1*2000</f>
        <v>11500</v>
      </c>
      <c r="J33" s="834">
        <v>11500</v>
      </c>
      <c r="K33" s="942" t="s">
        <v>787</v>
      </c>
    </row>
    <row r="34" spans="1:11" ht="15" customHeight="1" x14ac:dyDescent="0.35">
      <c r="A34" s="824" t="s">
        <v>788</v>
      </c>
      <c r="B34" s="834"/>
      <c r="C34" s="834"/>
      <c r="D34" s="834"/>
      <c r="E34" s="834"/>
      <c r="F34" s="834"/>
      <c r="G34" s="834"/>
      <c r="H34" s="834">
        <v>5000</v>
      </c>
      <c r="I34" s="834">
        <f>4000+0+1500+2000+2000</f>
        <v>9500</v>
      </c>
      <c r="J34" s="834"/>
      <c r="K34" s="834" t="s">
        <v>789</v>
      </c>
    </row>
    <row r="35" spans="1:11" ht="15" customHeight="1" x14ac:dyDescent="0.35">
      <c r="A35" s="824" t="s">
        <v>790</v>
      </c>
      <c r="B35" s="834"/>
      <c r="C35" s="834"/>
      <c r="D35" s="834"/>
      <c r="E35" s="834"/>
      <c r="F35" s="834"/>
      <c r="G35" s="834"/>
      <c r="H35" s="834"/>
      <c r="I35" s="834"/>
      <c r="J35" s="834"/>
      <c r="K35" s="834"/>
    </row>
    <row r="36" spans="1:11" ht="12.75" customHeight="1" x14ac:dyDescent="0.3">
      <c r="A36" s="841"/>
      <c r="B36" s="841"/>
      <c r="C36" s="118"/>
      <c r="D36" s="118"/>
      <c r="E36" s="118"/>
      <c r="F36" s="118"/>
      <c r="G36" s="841"/>
      <c r="H36" s="118"/>
      <c r="I36" s="118"/>
      <c r="J36" s="118"/>
      <c r="K36" s="841"/>
    </row>
    <row r="37" spans="1:11" ht="15" customHeight="1" x14ac:dyDescent="0.35">
      <c r="A37" s="824" t="s">
        <v>791</v>
      </c>
      <c r="B37" s="841"/>
      <c r="C37" s="118"/>
      <c r="D37" s="118"/>
      <c r="E37" s="118"/>
      <c r="F37" s="118"/>
      <c r="G37" s="841"/>
      <c r="H37" s="118"/>
      <c r="I37" s="118"/>
      <c r="J37" s="118"/>
      <c r="K37" s="841"/>
    </row>
    <row r="38" spans="1:11" ht="15" customHeight="1" x14ac:dyDescent="0.35">
      <c r="A38" s="632" t="s">
        <v>781</v>
      </c>
      <c r="B38" s="841"/>
      <c r="C38" s="118"/>
      <c r="D38" s="118"/>
      <c r="E38" s="118"/>
      <c r="F38" s="118"/>
      <c r="G38" s="841"/>
      <c r="H38" s="118"/>
      <c r="I38" s="118"/>
      <c r="J38" s="118"/>
      <c r="K38" s="841"/>
    </row>
    <row r="39" spans="1:11" ht="15" customHeight="1" x14ac:dyDescent="0.35">
      <c r="A39" s="632" t="s">
        <v>783</v>
      </c>
      <c r="B39" s="841"/>
      <c r="C39" s="118"/>
      <c r="D39" s="118"/>
      <c r="E39" s="118"/>
      <c r="F39" s="118"/>
      <c r="G39" s="841"/>
      <c r="H39" s="841">
        <v>4200</v>
      </c>
      <c r="I39" s="118"/>
      <c r="J39" s="841">
        <v>4200</v>
      </c>
      <c r="K39" s="841"/>
    </row>
    <row r="40" spans="1:11" ht="25.5" customHeight="1" x14ac:dyDescent="0.3">
      <c r="A40" s="841"/>
      <c r="B40" s="841"/>
      <c r="C40" s="118"/>
      <c r="D40" s="118"/>
      <c r="E40" s="118"/>
      <c r="F40" s="118"/>
      <c r="G40" s="841"/>
      <c r="H40" s="924">
        <v>100000</v>
      </c>
      <c r="I40" s="118"/>
      <c r="J40" s="118"/>
      <c r="K40" s="937" t="s">
        <v>792</v>
      </c>
    </row>
    <row r="41" spans="1:11" ht="12.75" customHeight="1" x14ac:dyDescent="0.3">
      <c r="A41" s="841"/>
      <c r="B41" s="841">
        <v>9</v>
      </c>
      <c r="C41" s="118"/>
      <c r="D41" s="118"/>
      <c r="E41" s="118"/>
      <c r="F41" s="118"/>
      <c r="G41" s="841"/>
      <c r="H41" s="118"/>
      <c r="I41" s="118"/>
      <c r="J41" s="118"/>
      <c r="K41" s="841" t="s">
        <v>793</v>
      </c>
    </row>
    <row r="42" spans="1:11" ht="15" customHeight="1" x14ac:dyDescent="0.35">
      <c r="A42" s="948" t="s">
        <v>794</v>
      </c>
      <c r="B42" s="841"/>
      <c r="C42" s="118"/>
      <c r="D42" s="118"/>
      <c r="E42" s="118"/>
      <c r="F42" s="118"/>
      <c r="G42" s="841"/>
      <c r="H42" s="118"/>
      <c r="I42" s="118"/>
      <c r="J42" s="118"/>
      <c r="K42" s="841"/>
    </row>
    <row r="43" spans="1:11" ht="12.75" customHeight="1" x14ac:dyDescent="0.3">
      <c r="A43" s="637" t="s">
        <v>496</v>
      </c>
      <c r="B43" s="637" t="s">
        <v>497</v>
      </c>
      <c r="C43" s="118"/>
      <c r="D43" s="118"/>
      <c r="E43" s="118"/>
      <c r="F43" s="118"/>
      <c r="G43" s="841"/>
      <c r="H43" s="118"/>
      <c r="I43" s="118"/>
      <c r="J43" s="118"/>
      <c r="K43" s="841" t="s">
        <v>795</v>
      </c>
    </row>
    <row r="44" spans="1:11" ht="12.75" customHeight="1" x14ac:dyDescent="0.3">
      <c r="A44" s="640" t="s">
        <v>505</v>
      </c>
      <c r="B44" s="640" t="s">
        <v>796</v>
      </c>
      <c r="C44" s="118"/>
      <c r="D44" s="118"/>
      <c r="E44" s="118"/>
      <c r="F44" s="118"/>
      <c r="G44" s="841"/>
      <c r="H44" s="118"/>
      <c r="I44" s="118"/>
      <c r="J44" s="118"/>
      <c r="K44" s="841" t="s">
        <v>797</v>
      </c>
    </row>
    <row r="45" spans="1:11" ht="25.5" customHeight="1" x14ac:dyDescent="0.3">
      <c r="A45" s="640" t="s">
        <v>798</v>
      </c>
      <c r="B45" s="640" t="s">
        <v>799</v>
      </c>
      <c r="C45" s="118"/>
      <c r="D45" s="118"/>
      <c r="E45" s="118"/>
      <c r="F45" s="118"/>
      <c r="G45" s="841"/>
      <c r="H45" s="118"/>
      <c r="I45" s="118"/>
      <c r="J45" s="118"/>
      <c r="K45" s="937" t="s">
        <v>800</v>
      </c>
    </row>
    <row r="46" spans="1:11" ht="12.75" customHeight="1" x14ac:dyDescent="0.3">
      <c r="A46" s="640" t="s">
        <v>506</v>
      </c>
      <c r="B46" s="640" t="s">
        <v>801</v>
      </c>
      <c r="C46" s="118"/>
      <c r="D46" s="118"/>
      <c r="E46" s="118"/>
      <c r="F46" s="118"/>
      <c r="G46" s="841"/>
      <c r="H46" s="118"/>
      <c r="I46" s="118"/>
      <c r="J46" s="118"/>
      <c r="K46" s="841" t="s">
        <v>802</v>
      </c>
    </row>
    <row r="47" spans="1:11" ht="12.75" customHeight="1" x14ac:dyDescent="0.3">
      <c r="A47" s="640" t="s">
        <v>509</v>
      </c>
      <c r="B47" s="640" t="s">
        <v>510</v>
      </c>
      <c r="C47" s="118"/>
      <c r="D47" s="118"/>
      <c r="E47" s="118"/>
      <c r="F47" s="118"/>
      <c r="G47" s="841"/>
      <c r="H47" s="118"/>
      <c r="I47" s="118"/>
      <c r="J47" s="118"/>
      <c r="K47" s="841"/>
    </row>
    <row r="48" spans="1:11" ht="12.75" customHeight="1" x14ac:dyDescent="0.3">
      <c r="A48" s="640" t="s">
        <v>803</v>
      </c>
      <c r="B48" s="640" t="s">
        <v>804</v>
      </c>
      <c r="C48" s="118"/>
      <c r="D48" s="118"/>
      <c r="E48" s="118"/>
      <c r="F48" s="118"/>
      <c r="G48" s="841"/>
      <c r="H48" s="118"/>
      <c r="I48" s="118"/>
      <c r="J48" s="118"/>
      <c r="K48" s="841"/>
    </row>
    <row r="49" spans="1:11" ht="12.75" customHeight="1" x14ac:dyDescent="0.3">
      <c r="A49" s="640" t="s">
        <v>805</v>
      </c>
      <c r="B49" s="640" t="s">
        <v>804</v>
      </c>
      <c r="C49" s="118"/>
      <c r="D49" s="118"/>
      <c r="E49" s="118"/>
      <c r="F49" s="118"/>
      <c r="G49" s="841"/>
      <c r="H49" s="118"/>
      <c r="I49" s="118"/>
      <c r="J49" s="118"/>
      <c r="K49" s="841"/>
    </row>
    <row r="50" spans="1:11" ht="12.75" customHeight="1" x14ac:dyDescent="0.3">
      <c r="A50" s="640" t="s">
        <v>513</v>
      </c>
      <c r="B50" s="640" t="s">
        <v>806</v>
      </c>
      <c r="C50" s="118"/>
      <c r="D50" s="118"/>
      <c r="E50" s="118"/>
      <c r="F50" s="118"/>
      <c r="G50" s="841"/>
      <c r="H50" s="118"/>
      <c r="I50" s="118"/>
      <c r="J50" s="118"/>
      <c r="K50" s="841"/>
    </row>
    <row r="51" spans="1:11" ht="12.75" customHeight="1" x14ac:dyDescent="0.3">
      <c r="A51" s="841"/>
      <c r="B51" s="841"/>
      <c r="C51" s="118"/>
      <c r="D51" s="118"/>
      <c r="E51" s="118"/>
      <c r="F51" s="118"/>
      <c r="G51" s="841"/>
      <c r="H51" s="118"/>
      <c r="I51" s="118"/>
      <c r="J51" s="118"/>
      <c r="K51" s="841"/>
    </row>
    <row r="52" spans="1:11" ht="12.75" customHeight="1" x14ac:dyDescent="0.3">
      <c r="A52" s="841"/>
      <c r="B52" s="841"/>
      <c r="C52" s="118"/>
      <c r="D52" s="118"/>
      <c r="E52" s="118"/>
      <c r="F52" s="118"/>
      <c r="G52" s="841"/>
      <c r="H52" s="118"/>
      <c r="I52" s="118"/>
      <c r="J52" s="118"/>
      <c r="K52" s="841"/>
    </row>
    <row r="53" spans="1:11" ht="12.75" customHeight="1" x14ac:dyDescent="0.3">
      <c r="A53" s="841"/>
      <c r="B53" s="841"/>
      <c r="C53" s="118"/>
      <c r="D53" s="118"/>
      <c r="E53" s="118"/>
      <c r="F53" s="118"/>
      <c r="G53" s="841"/>
      <c r="H53" s="118"/>
      <c r="I53" s="118"/>
      <c r="J53" s="118"/>
      <c r="K53" s="841"/>
    </row>
    <row r="54" spans="1:11" ht="12.75" customHeight="1" x14ac:dyDescent="0.3">
      <c r="A54" s="841"/>
      <c r="B54" s="841"/>
      <c r="C54" s="118"/>
      <c r="D54" s="118"/>
      <c r="E54" s="118"/>
      <c r="F54" s="118"/>
      <c r="G54" s="841"/>
      <c r="H54" s="118"/>
      <c r="I54" s="118"/>
      <c r="J54" s="118"/>
      <c r="K54" s="841"/>
    </row>
    <row r="55" spans="1:11" ht="12.75" customHeight="1" x14ac:dyDescent="0.3">
      <c r="A55" s="841"/>
      <c r="B55" s="841"/>
      <c r="C55" s="118"/>
      <c r="D55" s="118"/>
      <c r="E55" s="118"/>
      <c r="F55" s="118"/>
      <c r="G55" s="841"/>
      <c r="H55" s="118"/>
      <c r="I55" s="118"/>
      <c r="J55" s="118"/>
      <c r="K55" s="841"/>
    </row>
    <row r="56" spans="1:11" ht="12.75" customHeight="1" x14ac:dyDescent="0.3">
      <c r="A56" s="841"/>
      <c r="B56" s="841"/>
      <c r="C56" s="118"/>
      <c r="D56" s="118"/>
      <c r="E56" s="118"/>
      <c r="F56" s="118"/>
      <c r="G56" s="841"/>
      <c r="H56" s="118"/>
      <c r="I56" s="118"/>
      <c r="J56" s="118"/>
      <c r="K56" s="841"/>
    </row>
    <row r="57" spans="1:11" ht="12.75" customHeight="1" x14ac:dyDescent="0.3">
      <c r="A57" s="841"/>
      <c r="B57" s="841"/>
      <c r="C57" s="118"/>
      <c r="D57" s="118"/>
      <c r="E57" s="118"/>
      <c r="F57" s="118"/>
      <c r="G57" s="841"/>
      <c r="H57" s="118"/>
      <c r="I57" s="118"/>
      <c r="J57" s="118"/>
      <c r="K57" s="841"/>
    </row>
    <row r="58" spans="1:11" ht="12.75" customHeight="1" x14ac:dyDescent="0.3">
      <c r="A58" s="841"/>
      <c r="B58" s="841"/>
      <c r="C58" s="118"/>
      <c r="D58" s="118"/>
      <c r="E58" s="118"/>
      <c r="F58" s="118"/>
      <c r="G58" s="841"/>
      <c r="H58" s="118"/>
      <c r="I58" s="118"/>
      <c r="J58" s="118"/>
      <c r="K58" s="841"/>
    </row>
    <row r="59" spans="1:11" ht="12.75" customHeight="1" x14ac:dyDescent="0.3">
      <c r="A59" s="841"/>
      <c r="B59" s="841"/>
      <c r="C59" s="118"/>
      <c r="D59" s="118"/>
      <c r="E59" s="118"/>
      <c r="F59" s="118"/>
      <c r="G59" s="841"/>
      <c r="H59" s="118"/>
      <c r="I59" s="118"/>
      <c r="J59" s="118"/>
      <c r="K59" s="841"/>
    </row>
    <row r="60" spans="1:11" ht="12.75" customHeight="1" x14ac:dyDescent="0.3">
      <c r="A60" s="841"/>
      <c r="B60" s="841"/>
      <c r="C60" s="118"/>
      <c r="D60" s="118"/>
      <c r="E60" s="118"/>
      <c r="F60" s="118"/>
      <c r="G60" s="841"/>
      <c r="H60" s="118"/>
      <c r="I60" s="118"/>
      <c r="J60" s="118"/>
      <c r="K60" s="841"/>
    </row>
    <row r="61" spans="1:11" ht="12.75" customHeight="1" x14ac:dyDescent="0.3">
      <c r="A61" s="841"/>
      <c r="B61" s="841"/>
      <c r="C61" s="118"/>
      <c r="D61" s="118"/>
      <c r="E61" s="118"/>
      <c r="F61" s="118"/>
      <c r="G61" s="841"/>
      <c r="H61" s="118"/>
      <c r="I61" s="118"/>
      <c r="J61" s="118"/>
      <c r="K61" s="841"/>
    </row>
    <row r="62" spans="1:11" ht="12.75" customHeight="1" x14ac:dyDescent="0.3">
      <c r="A62" s="841"/>
      <c r="B62" s="841"/>
      <c r="C62" s="118"/>
      <c r="D62" s="118"/>
      <c r="E62" s="118"/>
      <c r="F62" s="118"/>
      <c r="G62" s="841"/>
      <c r="H62" s="118"/>
      <c r="I62" s="118"/>
      <c r="J62" s="118"/>
      <c r="K62" s="841"/>
    </row>
    <row r="63" spans="1:11" ht="12.75" customHeight="1" x14ac:dyDescent="0.3">
      <c r="A63" s="841"/>
      <c r="B63" s="841"/>
      <c r="C63" s="118"/>
      <c r="D63" s="118"/>
      <c r="E63" s="118"/>
      <c r="F63" s="118"/>
      <c r="G63" s="841"/>
      <c r="H63" s="118"/>
      <c r="I63" s="118"/>
      <c r="J63" s="118"/>
      <c r="K63" s="841"/>
    </row>
    <row r="64" spans="1:11" ht="12.75" customHeight="1" x14ac:dyDescent="0.3">
      <c r="A64" s="841"/>
      <c r="B64" s="841"/>
      <c r="C64" s="118"/>
      <c r="D64" s="118"/>
      <c r="E64" s="118"/>
      <c r="F64" s="118"/>
      <c r="G64" s="841"/>
      <c r="H64" s="118"/>
      <c r="I64" s="118"/>
      <c r="J64" s="118"/>
      <c r="K64" s="841"/>
    </row>
    <row r="65" spans="1:11" ht="12.75" customHeight="1" x14ac:dyDescent="0.3">
      <c r="A65" s="841"/>
      <c r="B65" s="841"/>
      <c r="C65" s="118"/>
      <c r="D65" s="118"/>
      <c r="E65" s="118"/>
      <c r="F65" s="118"/>
      <c r="G65" s="841"/>
      <c r="H65" s="118"/>
      <c r="I65" s="118"/>
      <c r="J65" s="118"/>
      <c r="K65" s="841"/>
    </row>
    <row r="66" spans="1:11" ht="12.75" customHeight="1" x14ac:dyDescent="0.3">
      <c r="A66" s="841"/>
      <c r="B66" s="841"/>
      <c r="C66" s="118"/>
      <c r="D66" s="118"/>
      <c r="E66" s="118"/>
      <c r="F66" s="118"/>
      <c r="G66" s="841"/>
      <c r="H66" s="118"/>
      <c r="I66" s="118"/>
      <c r="J66" s="118"/>
      <c r="K66" s="841"/>
    </row>
    <row r="67" spans="1:11" ht="12.75" customHeight="1" x14ac:dyDescent="0.3">
      <c r="A67" s="841"/>
      <c r="B67" s="841"/>
      <c r="C67" s="118"/>
      <c r="D67" s="118"/>
      <c r="E67" s="118"/>
      <c r="F67" s="118"/>
      <c r="G67" s="841"/>
      <c r="H67" s="118"/>
      <c r="I67" s="118"/>
      <c r="J67" s="118"/>
      <c r="K67" s="841"/>
    </row>
    <row r="68" spans="1:11" ht="12.75" customHeight="1" x14ac:dyDescent="0.3">
      <c r="A68" s="841"/>
      <c r="B68" s="841"/>
      <c r="C68" s="118"/>
      <c r="D68" s="118"/>
      <c r="E68" s="118"/>
      <c r="F68" s="118"/>
      <c r="G68" s="841"/>
      <c r="H68" s="118"/>
      <c r="I68" s="118"/>
      <c r="J68" s="118"/>
      <c r="K68" s="841"/>
    </row>
    <row r="69" spans="1:11" ht="12.75" customHeight="1" x14ac:dyDescent="0.3">
      <c r="A69" s="841"/>
      <c r="B69" s="841"/>
      <c r="C69" s="118"/>
      <c r="D69" s="118"/>
      <c r="E69" s="118"/>
      <c r="F69" s="118"/>
      <c r="G69" s="841"/>
      <c r="H69" s="118"/>
      <c r="I69" s="118"/>
      <c r="J69" s="118"/>
      <c r="K69" s="841"/>
    </row>
    <row r="70" spans="1:11" ht="12.75" customHeight="1" x14ac:dyDescent="0.3">
      <c r="A70" s="841"/>
      <c r="B70" s="841"/>
      <c r="C70" s="118"/>
      <c r="D70" s="118"/>
      <c r="E70" s="118"/>
      <c r="F70" s="118"/>
      <c r="G70" s="841"/>
      <c r="H70" s="118"/>
      <c r="I70" s="118"/>
      <c r="J70" s="118"/>
      <c r="K70" s="841"/>
    </row>
    <row r="71" spans="1:11" ht="12.75" customHeight="1" x14ac:dyDescent="0.3">
      <c r="A71" s="841"/>
      <c r="B71" s="841"/>
      <c r="C71" s="118"/>
      <c r="D71" s="118"/>
      <c r="E71" s="118"/>
      <c r="F71" s="118"/>
      <c r="G71" s="841"/>
      <c r="H71" s="118"/>
      <c r="I71" s="118"/>
      <c r="J71" s="118"/>
      <c r="K71" s="841"/>
    </row>
    <row r="72" spans="1:11" ht="12.75" customHeight="1" x14ac:dyDescent="0.3">
      <c r="A72" s="841"/>
      <c r="B72" s="841"/>
      <c r="C72" s="118"/>
      <c r="D72" s="118"/>
      <c r="E72" s="118"/>
      <c r="F72" s="118"/>
      <c r="G72" s="841"/>
      <c r="H72" s="118"/>
      <c r="I72" s="118"/>
      <c r="J72" s="118"/>
      <c r="K72" s="841"/>
    </row>
    <row r="73" spans="1:11" ht="12.75" customHeight="1" x14ac:dyDescent="0.3">
      <c r="A73" s="841"/>
      <c r="B73" s="841"/>
      <c r="C73" s="118"/>
      <c r="D73" s="118"/>
      <c r="E73" s="118"/>
      <c r="F73" s="118"/>
      <c r="G73" s="841"/>
      <c r="H73" s="118"/>
      <c r="I73" s="118"/>
      <c r="J73" s="118"/>
      <c r="K73" s="841"/>
    </row>
    <row r="74" spans="1:11" ht="12.75" customHeight="1" x14ac:dyDescent="0.3">
      <c r="A74" s="841"/>
      <c r="B74" s="841"/>
      <c r="C74" s="118"/>
      <c r="D74" s="118"/>
      <c r="E74" s="118"/>
      <c r="F74" s="118"/>
      <c r="G74" s="841"/>
      <c r="H74" s="118"/>
      <c r="I74" s="118"/>
      <c r="J74" s="118"/>
      <c r="K74" s="841"/>
    </row>
    <row r="75" spans="1:11" ht="12.75" customHeight="1" x14ac:dyDescent="0.3">
      <c r="A75" s="841"/>
      <c r="B75" s="841"/>
      <c r="C75" s="118"/>
      <c r="D75" s="118"/>
      <c r="E75" s="118"/>
      <c r="F75" s="118"/>
      <c r="G75" s="841"/>
      <c r="H75" s="118"/>
      <c r="I75" s="118"/>
      <c r="J75" s="118"/>
      <c r="K75" s="841"/>
    </row>
    <row r="76" spans="1:11" ht="12.75" customHeight="1" x14ac:dyDescent="0.3">
      <c r="A76" s="841"/>
      <c r="B76" s="841"/>
      <c r="C76" s="118"/>
      <c r="D76" s="118"/>
      <c r="E76" s="118"/>
      <c r="F76" s="118"/>
      <c r="G76" s="841"/>
      <c r="H76" s="118"/>
      <c r="I76" s="118"/>
      <c r="J76" s="118"/>
      <c r="K76" s="841"/>
    </row>
    <row r="77" spans="1:11" ht="12.75" customHeight="1" x14ac:dyDescent="0.3">
      <c r="A77" s="841"/>
      <c r="B77" s="841"/>
      <c r="C77" s="118"/>
      <c r="D77" s="118"/>
      <c r="E77" s="118"/>
      <c r="F77" s="118"/>
      <c r="G77" s="841"/>
      <c r="H77" s="118"/>
      <c r="I77" s="118"/>
      <c r="J77" s="118"/>
      <c r="K77" s="841"/>
    </row>
    <row r="78" spans="1:11" ht="12.75" customHeight="1" x14ac:dyDescent="0.3">
      <c r="A78" s="841"/>
      <c r="B78" s="841"/>
      <c r="C78" s="118"/>
      <c r="D78" s="118"/>
      <c r="E78" s="118"/>
      <c r="F78" s="118"/>
      <c r="G78" s="841"/>
      <c r="H78" s="118"/>
      <c r="I78" s="118"/>
      <c r="J78" s="118"/>
      <c r="K78" s="841"/>
    </row>
    <row r="79" spans="1:11" ht="12.75" customHeight="1" x14ac:dyDescent="0.3">
      <c r="A79" s="841"/>
      <c r="B79" s="841"/>
      <c r="C79" s="118"/>
      <c r="D79" s="118"/>
      <c r="E79" s="118"/>
      <c r="F79" s="118"/>
      <c r="G79" s="841"/>
      <c r="H79" s="118"/>
      <c r="I79" s="118"/>
      <c r="J79" s="118"/>
      <c r="K79" s="841"/>
    </row>
    <row r="80" spans="1:11" ht="12.75" customHeight="1" x14ac:dyDescent="0.3">
      <c r="A80" s="841"/>
      <c r="B80" s="841"/>
      <c r="C80" s="118"/>
      <c r="D80" s="118"/>
      <c r="E80" s="118"/>
      <c r="F80" s="118"/>
      <c r="G80" s="841"/>
      <c r="H80" s="118"/>
      <c r="I80" s="118"/>
      <c r="J80" s="118"/>
      <c r="K80" s="841"/>
    </row>
    <row r="81" spans="1:11" ht="12.75" customHeight="1" x14ac:dyDescent="0.3">
      <c r="A81" s="841"/>
      <c r="B81" s="841"/>
      <c r="C81" s="118"/>
      <c r="D81" s="118"/>
      <c r="E81" s="118"/>
      <c r="F81" s="118"/>
      <c r="G81" s="841"/>
      <c r="H81" s="118"/>
      <c r="I81" s="118"/>
      <c r="J81" s="118"/>
      <c r="K81" s="841"/>
    </row>
    <row r="82" spans="1:11" ht="12.75" customHeight="1" x14ac:dyDescent="0.3">
      <c r="A82" s="841"/>
      <c r="B82" s="841"/>
      <c r="C82" s="118"/>
      <c r="D82" s="118"/>
      <c r="E82" s="118"/>
      <c r="F82" s="118"/>
      <c r="G82" s="841"/>
      <c r="H82" s="118"/>
      <c r="I82" s="118"/>
      <c r="J82" s="118"/>
      <c r="K82" s="841"/>
    </row>
    <row r="83" spans="1:11" ht="12.75" customHeight="1" x14ac:dyDescent="0.3">
      <c r="A83" s="841"/>
      <c r="B83" s="841"/>
      <c r="C83" s="118"/>
      <c r="D83" s="118"/>
      <c r="E83" s="118"/>
      <c r="F83" s="118"/>
      <c r="G83" s="841"/>
      <c r="H83" s="118"/>
      <c r="I83" s="118"/>
      <c r="J83" s="118"/>
      <c r="K83" s="841"/>
    </row>
    <row r="84" spans="1:11" ht="12.75" customHeight="1" x14ac:dyDescent="0.3">
      <c r="A84" s="841"/>
      <c r="B84" s="841"/>
      <c r="C84" s="118"/>
      <c r="D84" s="118"/>
      <c r="E84" s="118"/>
      <c r="F84" s="118"/>
      <c r="G84" s="841"/>
      <c r="H84" s="118"/>
      <c r="I84" s="118"/>
      <c r="J84" s="118"/>
      <c r="K84" s="841"/>
    </row>
    <row r="85" spans="1:11" ht="12.75" customHeight="1" x14ac:dyDescent="0.3">
      <c r="A85" s="841"/>
      <c r="B85" s="841"/>
      <c r="C85" s="118"/>
      <c r="D85" s="118"/>
      <c r="E85" s="118"/>
      <c r="F85" s="118"/>
      <c r="G85" s="841"/>
      <c r="H85" s="118"/>
      <c r="I85" s="118"/>
      <c r="J85" s="118"/>
      <c r="K85" s="841"/>
    </row>
    <row r="86" spans="1:11" ht="12.75" customHeight="1" x14ac:dyDescent="0.3">
      <c r="A86" s="841"/>
      <c r="B86" s="841"/>
      <c r="C86" s="118"/>
      <c r="D86" s="118"/>
      <c r="E86" s="118"/>
      <c r="F86" s="118"/>
      <c r="G86" s="841"/>
      <c r="H86" s="118"/>
      <c r="I86" s="118"/>
      <c r="J86" s="118"/>
      <c r="K86" s="841"/>
    </row>
    <row r="87" spans="1:11" ht="12.75" customHeight="1" x14ac:dyDescent="0.3">
      <c r="A87" s="841"/>
      <c r="B87" s="841"/>
      <c r="C87" s="118"/>
      <c r="D87" s="118"/>
      <c r="E87" s="118"/>
      <c r="F87" s="118"/>
      <c r="G87" s="841"/>
      <c r="H87" s="118"/>
      <c r="I87" s="118"/>
      <c r="J87" s="118"/>
      <c r="K87" s="841"/>
    </row>
    <row r="88" spans="1:11" ht="12.75" customHeight="1" x14ac:dyDescent="0.3">
      <c r="A88" s="841"/>
      <c r="B88" s="841"/>
      <c r="C88" s="118"/>
      <c r="D88" s="118"/>
      <c r="E88" s="118"/>
      <c r="F88" s="118"/>
      <c r="G88" s="841"/>
      <c r="H88" s="118"/>
      <c r="I88" s="118"/>
      <c r="J88" s="118"/>
      <c r="K88" s="841"/>
    </row>
    <row r="89" spans="1:11" ht="12.75" customHeight="1" x14ac:dyDescent="0.3">
      <c r="A89" s="841"/>
      <c r="B89" s="841"/>
      <c r="C89" s="118"/>
      <c r="D89" s="118"/>
      <c r="E89" s="118"/>
      <c r="F89" s="118"/>
      <c r="G89" s="841"/>
      <c r="H89" s="118"/>
      <c r="I89" s="118"/>
      <c r="J89" s="118"/>
      <c r="K89" s="841"/>
    </row>
    <row r="90" spans="1:11" ht="12.75" customHeight="1" x14ac:dyDescent="0.3">
      <c r="A90" s="841"/>
      <c r="B90" s="841"/>
      <c r="C90" s="118"/>
      <c r="D90" s="118"/>
      <c r="E90" s="118"/>
      <c r="F90" s="118"/>
      <c r="G90" s="841"/>
      <c r="H90" s="118"/>
      <c r="I90" s="118"/>
      <c r="J90" s="118"/>
      <c r="K90" s="841"/>
    </row>
    <row r="91" spans="1:11" ht="12.75" customHeight="1" x14ac:dyDescent="0.3">
      <c r="A91" s="841"/>
      <c r="B91" s="841"/>
      <c r="C91" s="118"/>
      <c r="D91" s="118"/>
      <c r="E91" s="118"/>
      <c r="F91" s="118"/>
      <c r="G91" s="841"/>
      <c r="H91" s="118"/>
      <c r="I91" s="118"/>
      <c r="J91" s="118"/>
      <c r="K91" s="841"/>
    </row>
    <row r="92" spans="1:11" ht="12.75" customHeight="1" x14ac:dyDescent="0.3">
      <c r="A92" s="841"/>
      <c r="B92" s="841"/>
      <c r="C92" s="118"/>
      <c r="D92" s="118"/>
      <c r="E92" s="118"/>
      <c r="F92" s="118"/>
      <c r="G92" s="841"/>
      <c r="H92" s="118"/>
      <c r="I92" s="118"/>
      <c r="J92" s="118"/>
      <c r="K92" s="841"/>
    </row>
    <row r="93" spans="1:11" ht="12.75" customHeight="1" x14ac:dyDescent="0.3">
      <c r="A93" s="841"/>
      <c r="B93" s="841"/>
      <c r="C93" s="118"/>
      <c r="D93" s="118"/>
      <c r="E93" s="118"/>
      <c r="F93" s="118"/>
      <c r="G93" s="841"/>
      <c r="H93" s="118"/>
      <c r="I93" s="118"/>
      <c r="J93" s="118"/>
      <c r="K93" s="841"/>
    </row>
    <row r="94" spans="1:11" ht="12.75" customHeight="1" x14ac:dyDescent="0.3">
      <c r="A94" s="841"/>
      <c r="B94" s="841"/>
      <c r="C94" s="118"/>
      <c r="D94" s="118"/>
      <c r="E94" s="118"/>
      <c r="F94" s="118"/>
      <c r="G94" s="841"/>
      <c r="H94" s="118"/>
      <c r="I94" s="118"/>
      <c r="J94" s="118"/>
      <c r="K94" s="841"/>
    </row>
    <row r="95" spans="1:11" ht="12.75" customHeight="1" x14ac:dyDescent="0.3">
      <c r="A95" s="841"/>
      <c r="B95" s="841"/>
      <c r="C95" s="118"/>
      <c r="D95" s="118"/>
      <c r="E95" s="118"/>
      <c r="F95" s="118"/>
      <c r="G95" s="841"/>
      <c r="H95" s="118"/>
      <c r="I95" s="118"/>
      <c r="J95" s="118"/>
      <c r="K95" s="841"/>
    </row>
    <row r="96" spans="1:11" ht="12.75" customHeight="1" x14ac:dyDescent="0.3">
      <c r="A96" s="841"/>
      <c r="B96" s="841"/>
      <c r="C96" s="118"/>
      <c r="D96" s="118"/>
      <c r="E96" s="118"/>
      <c r="F96" s="118"/>
      <c r="G96" s="841"/>
      <c r="H96" s="118"/>
      <c r="I96" s="118"/>
      <c r="J96" s="118"/>
      <c r="K96" s="841"/>
    </row>
    <row r="97" spans="1:11" ht="12.75" customHeight="1" x14ac:dyDescent="0.3">
      <c r="A97" s="841"/>
      <c r="B97" s="841"/>
      <c r="C97" s="118"/>
      <c r="D97" s="118"/>
      <c r="E97" s="118"/>
      <c r="F97" s="118"/>
      <c r="G97" s="841"/>
      <c r="H97" s="118"/>
      <c r="I97" s="118"/>
      <c r="J97" s="118"/>
      <c r="K97" s="841"/>
    </row>
    <row r="98" spans="1:11" ht="12.75" customHeight="1" x14ac:dyDescent="0.3">
      <c r="A98" s="841"/>
      <c r="B98" s="841"/>
      <c r="C98" s="118"/>
      <c r="D98" s="118"/>
      <c r="E98" s="118"/>
      <c r="F98" s="118"/>
      <c r="G98" s="841"/>
      <c r="H98" s="118"/>
      <c r="I98" s="118"/>
      <c r="J98" s="118"/>
      <c r="K98" s="841"/>
    </row>
    <row r="99" spans="1:11" ht="12.75" customHeight="1" x14ac:dyDescent="0.3">
      <c r="A99" s="841"/>
      <c r="B99" s="841"/>
      <c r="C99" s="118"/>
      <c r="D99" s="118"/>
      <c r="E99" s="118"/>
      <c r="F99" s="118"/>
      <c r="G99" s="841"/>
      <c r="H99" s="118"/>
      <c r="I99" s="118"/>
      <c r="J99" s="118"/>
      <c r="K99" s="841"/>
    </row>
    <row r="100" spans="1:11" ht="12.75" customHeight="1" x14ac:dyDescent="0.3">
      <c r="A100" s="841"/>
      <c r="B100" s="841"/>
      <c r="C100" s="118"/>
      <c r="D100" s="118"/>
      <c r="E100" s="118"/>
      <c r="F100" s="118"/>
      <c r="G100" s="841"/>
      <c r="H100" s="118"/>
      <c r="I100" s="118"/>
      <c r="J100" s="118"/>
      <c r="K100" s="841"/>
    </row>
    <row r="101" spans="1:11" ht="12.75" customHeight="1" x14ac:dyDescent="0.3">
      <c r="A101" s="841"/>
      <c r="B101" s="841"/>
      <c r="C101" s="118"/>
      <c r="D101" s="118"/>
      <c r="E101" s="118"/>
      <c r="F101" s="118"/>
      <c r="G101" s="841"/>
      <c r="H101" s="118"/>
      <c r="I101" s="118"/>
      <c r="J101" s="118"/>
      <c r="K101" s="841"/>
    </row>
    <row r="102" spans="1:11" ht="12.75" customHeight="1" x14ac:dyDescent="0.3">
      <c r="A102" s="841"/>
      <c r="B102" s="841"/>
      <c r="C102" s="118"/>
      <c r="D102" s="118"/>
      <c r="E102" s="118"/>
      <c r="F102" s="118"/>
      <c r="G102" s="841"/>
      <c r="H102" s="118"/>
      <c r="I102" s="118"/>
      <c r="J102" s="118"/>
      <c r="K102" s="841"/>
    </row>
    <row r="103" spans="1:11" ht="12.75" customHeight="1" x14ac:dyDescent="0.3">
      <c r="A103" s="841"/>
      <c r="B103" s="841"/>
      <c r="C103" s="118"/>
      <c r="D103" s="118"/>
      <c r="E103" s="118"/>
      <c r="F103" s="118"/>
      <c r="G103" s="841"/>
      <c r="H103" s="118"/>
      <c r="I103" s="118"/>
      <c r="J103" s="118"/>
      <c r="K103" s="841"/>
    </row>
    <row r="104" spans="1:11" ht="12.75" customHeight="1" x14ac:dyDescent="0.3">
      <c r="A104" s="841"/>
      <c r="B104" s="841"/>
      <c r="C104" s="118"/>
      <c r="D104" s="118"/>
      <c r="E104" s="118"/>
      <c r="F104" s="118"/>
      <c r="G104" s="841"/>
      <c r="H104" s="118"/>
      <c r="I104" s="118"/>
      <c r="J104" s="118"/>
      <c r="K104" s="841"/>
    </row>
    <row r="105" spans="1:11" ht="12.75" customHeight="1" x14ac:dyDescent="0.3">
      <c r="A105" s="841"/>
      <c r="B105" s="841"/>
      <c r="C105" s="118"/>
      <c r="D105" s="118"/>
      <c r="E105" s="118"/>
      <c r="F105" s="118"/>
      <c r="G105" s="841"/>
      <c r="H105" s="118"/>
      <c r="I105" s="118"/>
      <c r="J105" s="118"/>
      <c r="K105" s="841"/>
    </row>
    <row r="106" spans="1:11" ht="12.75" customHeight="1" x14ac:dyDescent="0.3">
      <c r="A106" s="841"/>
      <c r="B106" s="841"/>
      <c r="C106" s="118"/>
      <c r="D106" s="118"/>
      <c r="E106" s="118"/>
      <c r="F106" s="118"/>
      <c r="G106" s="841"/>
      <c r="H106" s="118"/>
      <c r="I106" s="118"/>
      <c r="J106" s="118"/>
      <c r="K106" s="841"/>
    </row>
    <row r="107" spans="1:11" ht="12.75" customHeight="1" x14ac:dyDescent="0.3">
      <c r="A107" s="841"/>
      <c r="B107" s="841"/>
      <c r="C107" s="118"/>
      <c r="D107" s="118"/>
      <c r="E107" s="118"/>
      <c r="F107" s="118"/>
      <c r="G107" s="841"/>
      <c r="H107" s="118"/>
      <c r="I107" s="118"/>
      <c r="J107" s="118"/>
      <c r="K107" s="841"/>
    </row>
    <row r="108" spans="1:11" ht="12.75" customHeight="1" x14ac:dyDescent="0.3">
      <c r="A108" s="841"/>
      <c r="B108" s="841"/>
      <c r="C108" s="118"/>
      <c r="D108" s="118"/>
      <c r="E108" s="118"/>
      <c r="F108" s="118"/>
      <c r="G108" s="841"/>
      <c r="H108" s="118"/>
      <c r="I108" s="118"/>
      <c r="J108" s="118"/>
      <c r="K108" s="841"/>
    </row>
    <row r="109" spans="1:11" ht="12.75" customHeight="1" x14ac:dyDescent="0.3">
      <c r="A109" s="841"/>
      <c r="B109" s="841"/>
      <c r="C109" s="118"/>
      <c r="D109" s="118"/>
      <c r="E109" s="118"/>
      <c r="F109" s="118"/>
      <c r="G109" s="841"/>
      <c r="H109" s="118"/>
      <c r="I109" s="118"/>
      <c r="J109" s="118"/>
      <c r="K109" s="841"/>
    </row>
    <row r="110" spans="1:11" ht="12.75" customHeight="1" x14ac:dyDescent="0.3">
      <c r="A110" s="841"/>
      <c r="B110" s="841"/>
      <c r="C110" s="118"/>
      <c r="D110" s="118"/>
      <c r="E110" s="118"/>
      <c r="F110" s="118"/>
      <c r="G110" s="841"/>
      <c r="H110" s="118"/>
      <c r="I110" s="118"/>
      <c r="J110" s="118"/>
      <c r="K110" s="841"/>
    </row>
    <row r="111" spans="1:11" ht="12.75" customHeight="1" x14ac:dyDescent="0.3">
      <c r="A111" s="841"/>
      <c r="B111" s="841"/>
      <c r="C111" s="118"/>
      <c r="D111" s="118"/>
      <c r="E111" s="118"/>
      <c r="F111" s="118"/>
      <c r="G111" s="841"/>
      <c r="H111" s="118"/>
      <c r="I111" s="118"/>
      <c r="J111" s="118"/>
      <c r="K111" s="841"/>
    </row>
    <row r="112" spans="1:11" ht="12.75" customHeight="1" x14ac:dyDescent="0.3">
      <c r="A112" s="841"/>
      <c r="B112" s="841"/>
      <c r="C112" s="118"/>
      <c r="D112" s="118"/>
      <c r="E112" s="118"/>
      <c r="F112" s="118"/>
      <c r="G112" s="841"/>
      <c r="H112" s="118"/>
      <c r="I112" s="118"/>
      <c r="J112" s="118"/>
      <c r="K112" s="841"/>
    </row>
    <row r="113" spans="1:11" ht="12.75" customHeight="1" x14ac:dyDescent="0.3">
      <c r="A113" s="841"/>
      <c r="B113" s="841"/>
      <c r="C113" s="118"/>
      <c r="D113" s="118"/>
      <c r="E113" s="118"/>
      <c r="F113" s="118"/>
      <c r="G113" s="841"/>
      <c r="H113" s="118"/>
      <c r="I113" s="118"/>
      <c r="J113" s="118"/>
      <c r="K113" s="841"/>
    </row>
    <row r="114" spans="1:11" ht="12.75" customHeight="1" x14ac:dyDescent="0.3">
      <c r="A114" s="841"/>
      <c r="B114" s="841"/>
      <c r="C114" s="118"/>
      <c r="D114" s="118"/>
      <c r="E114" s="118"/>
      <c r="F114" s="118"/>
      <c r="G114" s="841"/>
      <c r="H114" s="118"/>
      <c r="I114" s="118"/>
      <c r="J114" s="118"/>
      <c r="K114" s="841"/>
    </row>
    <row r="115" spans="1:11" ht="12.75" customHeight="1" x14ac:dyDescent="0.3">
      <c r="A115" s="841"/>
      <c r="B115" s="841"/>
      <c r="C115" s="118"/>
      <c r="D115" s="118"/>
      <c r="E115" s="118"/>
      <c r="F115" s="118"/>
      <c r="G115" s="841"/>
      <c r="H115" s="118"/>
      <c r="I115" s="118"/>
      <c r="J115" s="118"/>
      <c r="K115" s="841"/>
    </row>
    <row r="116" spans="1:11" ht="12.75" customHeight="1" x14ac:dyDescent="0.3">
      <c r="A116" s="841"/>
      <c r="B116" s="841"/>
      <c r="C116" s="118"/>
      <c r="D116" s="118"/>
      <c r="E116" s="118"/>
      <c r="F116" s="118"/>
      <c r="G116" s="841"/>
      <c r="H116" s="118"/>
      <c r="I116" s="118"/>
      <c r="J116" s="118"/>
      <c r="K116" s="841"/>
    </row>
    <row r="117" spans="1:11" ht="12.75" customHeight="1" x14ac:dyDescent="0.3">
      <c r="A117" s="841"/>
      <c r="B117" s="841"/>
      <c r="C117" s="118"/>
      <c r="D117" s="118"/>
      <c r="E117" s="118"/>
      <c r="F117" s="118"/>
      <c r="G117" s="841"/>
      <c r="H117" s="118"/>
      <c r="I117" s="118"/>
      <c r="J117" s="118"/>
      <c r="K117" s="841"/>
    </row>
    <row r="118" spans="1:11" ht="12.75" customHeight="1" x14ac:dyDescent="0.3">
      <c r="A118" s="841"/>
      <c r="B118" s="841"/>
      <c r="C118" s="118"/>
      <c r="D118" s="118"/>
      <c r="E118" s="118"/>
      <c r="F118" s="118"/>
      <c r="G118" s="841"/>
      <c r="H118" s="118"/>
      <c r="I118" s="118"/>
      <c r="J118" s="118"/>
      <c r="K118" s="841"/>
    </row>
    <row r="119" spans="1:11" ht="12.75" customHeight="1" x14ac:dyDescent="0.3">
      <c r="A119" s="841"/>
      <c r="B119" s="841"/>
      <c r="C119" s="118"/>
      <c r="D119" s="118"/>
      <c r="E119" s="118"/>
      <c r="F119" s="118"/>
      <c r="G119" s="841"/>
      <c r="H119" s="118"/>
      <c r="I119" s="118"/>
      <c r="J119" s="118"/>
      <c r="K119" s="841"/>
    </row>
    <row r="120" spans="1:11" ht="12.75" customHeight="1" x14ac:dyDescent="0.3">
      <c r="A120" s="841"/>
      <c r="B120" s="841"/>
      <c r="C120" s="118"/>
      <c r="D120" s="118"/>
      <c r="E120" s="118"/>
      <c r="F120" s="118"/>
      <c r="G120" s="841"/>
      <c r="H120" s="118"/>
      <c r="I120" s="118"/>
      <c r="J120" s="118"/>
      <c r="K120" s="841"/>
    </row>
    <row r="121" spans="1:11" ht="12.75" customHeight="1" x14ac:dyDescent="0.3">
      <c r="A121" s="841"/>
      <c r="B121" s="841"/>
      <c r="C121" s="118"/>
      <c r="D121" s="118"/>
      <c r="E121" s="118"/>
      <c r="F121" s="118"/>
      <c r="G121" s="841"/>
      <c r="H121" s="118"/>
      <c r="I121" s="118"/>
      <c r="J121" s="118"/>
      <c r="K121" s="841"/>
    </row>
    <row r="122" spans="1:11" ht="12.75" customHeight="1" x14ac:dyDescent="0.3">
      <c r="A122" s="841"/>
      <c r="B122" s="841"/>
      <c r="C122" s="118"/>
      <c r="D122" s="118"/>
      <c r="E122" s="118"/>
      <c r="F122" s="118"/>
      <c r="G122" s="841"/>
      <c r="H122" s="118"/>
      <c r="I122" s="118"/>
      <c r="J122" s="118"/>
      <c r="K122" s="841"/>
    </row>
    <row r="123" spans="1:11" ht="12.75" customHeight="1" x14ac:dyDescent="0.3">
      <c r="A123" s="841"/>
      <c r="B123" s="841"/>
      <c r="C123" s="118"/>
      <c r="D123" s="118"/>
      <c r="E123" s="118"/>
      <c r="F123" s="118"/>
      <c r="G123" s="841"/>
      <c r="H123" s="118"/>
      <c r="I123" s="118"/>
      <c r="J123" s="118"/>
      <c r="K123" s="841"/>
    </row>
    <row r="124" spans="1:11" ht="12.75" customHeight="1" x14ac:dyDescent="0.3">
      <c r="A124" s="841"/>
      <c r="B124" s="841"/>
      <c r="C124" s="118"/>
      <c r="D124" s="118"/>
      <c r="E124" s="118"/>
      <c r="F124" s="118"/>
      <c r="G124" s="841"/>
      <c r="H124" s="118"/>
      <c r="I124" s="118"/>
      <c r="J124" s="118"/>
      <c r="K124" s="841"/>
    </row>
    <row r="125" spans="1:11" ht="12.75" customHeight="1" x14ac:dyDescent="0.3">
      <c r="A125" s="841"/>
      <c r="B125" s="841"/>
      <c r="C125" s="118"/>
      <c r="D125" s="118"/>
      <c r="E125" s="118"/>
      <c r="F125" s="118"/>
      <c r="G125" s="841"/>
      <c r="H125" s="118"/>
      <c r="I125" s="118"/>
      <c r="J125" s="118"/>
      <c r="K125" s="841"/>
    </row>
    <row r="126" spans="1:11" ht="12.75" customHeight="1" x14ac:dyDescent="0.3">
      <c r="A126" s="841"/>
      <c r="B126" s="841"/>
      <c r="C126" s="118"/>
      <c r="D126" s="118"/>
      <c r="E126" s="118"/>
      <c r="F126" s="118"/>
      <c r="G126" s="841"/>
      <c r="H126" s="118"/>
      <c r="I126" s="118"/>
      <c r="J126" s="118"/>
      <c r="K126" s="841"/>
    </row>
    <row r="127" spans="1:11" ht="12.75" customHeight="1" x14ac:dyDescent="0.3">
      <c r="A127" s="841"/>
      <c r="B127" s="841"/>
      <c r="C127" s="118"/>
      <c r="D127" s="118"/>
      <c r="E127" s="118"/>
      <c r="F127" s="118"/>
      <c r="G127" s="841"/>
      <c r="H127" s="118"/>
      <c r="I127" s="118"/>
      <c r="J127" s="118"/>
      <c r="K127" s="841"/>
    </row>
    <row r="128" spans="1:11" ht="12.75" customHeight="1" x14ac:dyDescent="0.3">
      <c r="A128" s="841"/>
      <c r="B128" s="841"/>
      <c r="C128" s="118"/>
      <c r="D128" s="118"/>
      <c r="E128" s="118"/>
      <c r="F128" s="118"/>
      <c r="G128" s="841"/>
      <c r="H128" s="118"/>
      <c r="I128" s="118"/>
      <c r="J128" s="118"/>
      <c r="K128" s="841"/>
    </row>
    <row r="129" spans="1:11" ht="12.75" customHeight="1" x14ac:dyDescent="0.3">
      <c r="A129" s="841"/>
      <c r="B129" s="841"/>
      <c r="C129" s="118"/>
      <c r="D129" s="118"/>
      <c r="E129" s="118"/>
      <c r="F129" s="118"/>
      <c r="G129" s="841"/>
      <c r="H129" s="118"/>
      <c r="I129" s="118"/>
      <c r="J129" s="118"/>
      <c r="K129" s="841"/>
    </row>
    <row r="130" spans="1:11" ht="12.75" customHeight="1" x14ac:dyDescent="0.3">
      <c r="A130" s="841"/>
      <c r="B130" s="841"/>
      <c r="C130" s="118"/>
      <c r="D130" s="118"/>
      <c r="E130" s="118"/>
      <c r="F130" s="118"/>
      <c r="G130" s="841"/>
      <c r="H130" s="118"/>
      <c r="I130" s="118"/>
      <c r="J130" s="118"/>
      <c r="K130" s="841"/>
    </row>
    <row r="131" spans="1:11" ht="12.75" customHeight="1" x14ac:dyDescent="0.3">
      <c r="A131" s="841"/>
      <c r="B131" s="841"/>
      <c r="C131" s="118"/>
      <c r="D131" s="118"/>
      <c r="E131" s="118"/>
      <c r="F131" s="118"/>
      <c r="G131" s="841"/>
      <c r="H131" s="118"/>
      <c r="I131" s="118"/>
      <c r="J131" s="118"/>
      <c r="K131" s="841"/>
    </row>
    <row r="132" spans="1:11" ht="12.75" customHeight="1" x14ac:dyDescent="0.3">
      <c r="A132" s="841"/>
      <c r="B132" s="841"/>
      <c r="C132" s="118"/>
      <c r="D132" s="118"/>
      <c r="E132" s="118"/>
      <c r="F132" s="118"/>
      <c r="G132" s="841"/>
      <c r="H132" s="118"/>
      <c r="I132" s="118"/>
      <c r="J132" s="118"/>
      <c r="K132" s="841"/>
    </row>
    <row r="133" spans="1:11" ht="12.75" customHeight="1" x14ac:dyDescent="0.3">
      <c r="A133" s="841"/>
      <c r="B133" s="841"/>
      <c r="C133" s="118"/>
      <c r="D133" s="118"/>
      <c r="E133" s="118"/>
      <c r="F133" s="118"/>
      <c r="G133" s="841"/>
      <c r="H133" s="118"/>
      <c r="I133" s="118"/>
      <c r="J133" s="118"/>
      <c r="K133" s="841"/>
    </row>
    <row r="134" spans="1:11" ht="12.75" customHeight="1" x14ac:dyDescent="0.3">
      <c r="A134" s="841"/>
      <c r="B134" s="841"/>
      <c r="C134" s="118"/>
      <c r="D134" s="118"/>
      <c r="E134" s="118"/>
      <c r="F134" s="118"/>
      <c r="G134" s="841"/>
      <c r="H134" s="118"/>
      <c r="I134" s="118"/>
      <c r="J134" s="118"/>
      <c r="K134" s="841"/>
    </row>
    <row r="135" spans="1:11" ht="12.75" customHeight="1" x14ac:dyDescent="0.3">
      <c r="A135" s="841"/>
      <c r="B135" s="841"/>
      <c r="C135" s="118"/>
      <c r="D135" s="118"/>
      <c r="E135" s="118"/>
      <c r="F135" s="118"/>
      <c r="G135" s="841"/>
      <c r="H135" s="118"/>
      <c r="I135" s="118"/>
      <c r="J135" s="118"/>
      <c r="K135" s="841"/>
    </row>
    <row r="136" spans="1:11" ht="12.75" customHeight="1" x14ac:dyDescent="0.3">
      <c r="A136" s="841"/>
      <c r="B136" s="841"/>
      <c r="C136" s="118"/>
      <c r="D136" s="118"/>
      <c r="E136" s="118"/>
      <c r="F136" s="118"/>
      <c r="G136" s="841"/>
      <c r="H136" s="118"/>
      <c r="I136" s="118"/>
      <c r="J136" s="118"/>
      <c r="K136" s="841"/>
    </row>
    <row r="137" spans="1:11" ht="12.75" customHeight="1" x14ac:dyDescent="0.3">
      <c r="A137" s="841"/>
      <c r="B137" s="841"/>
      <c r="C137" s="118"/>
      <c r="D137" s="118"/>
      <c r="E137" s="118"/>
      <c r="F137" s="118"/>
      <c r="G137" s="841"/>
      <c r="H137" s="118"/>
      <c r="I137" s="118"/>
      <c r="J137" s="118"/>
      <c r="K137" s="841"/>
    </row>
    <row r="138" spans="1:11" ht="12.75" customHeight="1" x14ac:dyDescent="0.3">
      <c r="A138" s="841"/>
      <c r="B138" s="841"/>
      <c r="C138" s="118"/>
      <c r="D138" s="118"/>
      <c r="E138" s="118"/>
      <c r="F138" s="118"/>
      <c r="G138" s="841"/>
      <c r="H138" s="118"/>
      <c r="I138" s="118"/>
      <c r="J138" s="118"/>
      <c r="K138" s="841"/>
    </row>
    <row r="139" spans="1:11" ht="12.75" customHeight="1" x14ac:dyDescent="0.3">
      <c r="A139" s="841"/>
      <c r="B139" s="841"/>
      <c r="C139" s="118"/>
      <c r="D139" s="118"/>
      <c r="E139" s="118"/>
      <c r="F139" s="118"/>
      <c r="G139" s="841"/>
      <c r="H139" s="118"/>
      <c r="I139" s="118"/>
      <c r="J139" s="118"/>
      <c r="K139" s="841"/>
    </row>
    <row r="140" spans="1:11" ht="12.75" customHeight="1" x14ac:dyDescent="0.3">
      <c r="A140" s="841"/>
      <c r="B140" s="841"/>
      <c r="C140" s="118"/>
      <c r="D140" s="118"/>
      <c r="E140" s="118"/>
      <c r="F140" s="118"/>
      <c r="G140" s="841"/>
      <c r="H140" s="118"/>
      <c r="I140" s="118"/>
      <c r="J140" s="118"/>
      <c r="K140" s="841"/>
    </row>
    <row r="141" spans="1:11" ht="12.75" customHeight="1" x14ac:dyDescent="0.3">
      <c r="A141" s="841"/>
      <c r="B141" s="841"/>
      <c r="C141" s="118"/>
      <c r="D141" s="118"/>
      <c r="E141" s="118"/>
      <c r="F141" s="118"/>
      <c r="G141" s="841"/>
      <c r="H141" s="118"/>
      <c r="I141" s="118"/>
      <c r="J141" s="118"/>
      <c r="K141" s="841"/>
    </row>
    <row r="142" spans="1:11" ht="12.75" customHeight="1" x14ac:dyDescent="0.3">
      <c r="A142" s="841"/>
      <c r="B142" s="841"/>
      <c r="C142" s="118"/>
      <c r="D142" s="118"/>
      <c r="E142" s="118"/>
      <c r="F142" s="118"/>
      <c r="G142" s="841"/>
      <c r="H142" s="118"/>
      <c r="I142" s="118"/>
      <c r="J142" s="118"/>
      <c r="K142" s="841"/>
    </row>
    <row r="143" spans="1:11" ht="12.75" customHeight="1" x14ac:dyDescent="0.3">
      <c r="A143" s="841"/>
      <c r="B143" s="841"/>
      <c r="C143" s="118"/>
      <c r="D143" s="118"/>
      <c r="E143" s="118"/>
      <c r="F143" s="118"/>
      <c r="G143" s="841"/>
      <c r="H143" s="118"/>
      <c r="I143" s="118"/>
      <c r="J143" s="118"/>
      <c r="K143" s="841"/>
    </row>
    <row r="144" spans="1:11" ht="12.75" customHeight="1" x14ac:dyDescent="0.3">
      <c r="A144" s="841"/>
      <c r="B144" s="841"/>
      <c r="C144" s="118"/>
      <c r="D144" s="118"/>
      <c r="E144" s="118"/>
      <c r="F144" s="118"/>
      <c r="G144" s="841"/>
      <c r="H144" s="118"/>
      <c r="I144" s="118"/>
      <c r="J144" s="118"/>
      <c r="K144" s="841"/>
    </row>
    <row r="145" spans="1:11" ht="12.75" customHeight="1" x14ac:dyDescent="0.3">
      <c r="A145" s="841"/>
      <c r="B145" s="841"/>
      <c r="C145" s="118"/>
      <c r="D145" s="118"/>
      <c r="E145" s="118"/>
      <c r="F145" s="118"/>
      <c r="G145" s="841"/>
      <c r="H145" s="118"/>
      <c r="I145" s="118"/>
      <c r="J145" s="118"/>
      <c r="K145" s="841"/>
    </row>
    <row r="146" spans="1:11" ht="12.75" customHeight="1" x14ac:dyDescent="0.3">
      <c r="A146" s="841"/>
      <c r="B146" s="841"/>
      <c r="C146" s="118"/>
      <c r="D146" s="118"/>
      <c r="E146" s="118"/>
      <c r="F146" s="118"/>
      <c r="G146" s="841"/>
      <c r="H146" s="118"/>
      <c r="I146" s="118"/>
      <c r="J146" s="118"/>
      <c r="K146" s="841"/>
    </row>
    <row r="147" spans="1:11" ht="12.75" customHeight="1" x14ac:dyDescent="0.3">
      <c r="A147" s="841"/>
      <c r="B147" s="841"/>
      <c r="C147" s="118"/>
      <c r="D147" s="118"/>
      <c r="E147" s="118"/>
      <c r="F147" s="118"/>
      <c r="G147" s="841"/>
      <c r="H147" s="118"/>
      <c r="I147" s="118"/>
      <c r="J147" s="118"/>
      <c r="K147" s="841"/>
    </row>
    <row r="148" spans="1:11" ht="12.75" customHeight="1" x14ac:dyDescent="0.3">
      <c r="A148" s="841"/>
      <c r="B148" s="841"/>
      <c r="C148" s="118"/>
      <c r="D148" s="118"/>
      <c r="E148" s="118"/>
      <c r="F148" s="118"/>
      <c r="G148" s="841"/>
      <c r="H148" s="118"/>
      <c r="I148" s="118"/>
      <c r="J148" s="118"/>
      <c r="K148" s="841"/>
    </row>
    <row r="149" spans="1:11" ht="12.75" customHeight="1" x14ac:dyDescent="0.3">
      <c r="A149" s="841"/>
      <c r="B149" s="841"/>
      <c r="C149" s="118"/>
      <c r="D149" s="118"/>
      <c r="E149" s="118"/>
      <c r="F149" s="118"/>
      <c r="G149" s="841"/>
      <c r="H149" s="118"/>
      <c r="I149" s="118"/>
      <c r="J149" s="118"/>
      <c r="K149" s="841"/>
    </row>
    <row r="150" spans="1:11" ht="12.75" customHeight="1" x14ac:dyDescent="0.3">
      <c r="A150" s="841"/>
      <c r="B150" s="841"/>
      <c r="C150" s="118"/>
      <c r="D150" s="118"/>
      <c r="E150" s="118"/>
      <c r="F150" s="118"/>
      <c r="G150" s="841"/>
      <c r="H150" s="118"/>
      <c r="I150" s="118"/>
      <c r="J150" s="118"/>
      <c r="K150" s="841"/>
    </row>
    <row r="151" spans="1:11" ht="12.75" customHeight="1" x14ac:dyDescent="0.3">
      <c r="A151" s="841"/>
      <c r="B151" s="841"/>
      <c r="C151" s="118"/>
      <c r="D151" s="118"/>
      <c r="E151" s="118"/>
      <c r="F151" s="118"/>
      <c r="G151" s="841"/>
      <c r="H151" s="118"/>
      <c r="I151" s="118"/>
      <c r="J151" s="118"/>
      <c r="K151" s="841"/>
    </row>
    <row r="152" spans="1:11" ht="12.75" customHeight="1" x14ac:dyDescent="0.3">
      <c r="A152" s="841"/>
      <c r="B152" s="841"/>
      <c r="C152" s="118"/>
      <c r="D152" s="118"/>
      <c r="E152" s="118"/>
      <c r="F152" s="118"/>
      <c r="G152" s="841"/>
      <c r="H152" s="118"/>
      <c r="I152" s="118"/>
      <c r="J152" s="118"/>
      <c r="K152" s="841"/>
    </row>
    <row r="153" spans="1:11" ht="12.75" customHeight="1" x14ac:dyDescent="0.3">
      <c r="A153" s="841"/>
      <c r="B153" s="841"/>
      <c r="C153" s="118"/>
      <c r="D153" s="118"/>
      <c r="E153" s="118"/>
      <c r="F153" s="118"/>
      <c r="G153" s="841"/>
      <c r="H153" s="118"/>
      <c r="I153" s="118"/>
      <c r="J153" s="118"/>
      <c r="K153" s="841"/>
    </row>
    <row r="154" spans="1:11" ht="12.75" customHeight="1" x14ac:dyDescent="0.3">
      <c r="A154" s="841"/>
      <c r="B154" s="841"/>
      <c r="C154" s="118"/>
      <c r="D154" s="118"/>
      <c r="E154" s="118"/>
      <c r="F154" s="118"/>
      <c r="G154" s="841"/>
      <c r="H154" s="118"/>
      <c r="I154" s="118"/>
      <c r="J154" s="118"/>
      <c r="K154" s="841"/>
    </row>
    <row r="155" spans="1:11" ht="12.75" customHeight="1" x14ac:dyDescent="0.3">
      <c r="A155" s="841"/>
      <c r="B155" s="841"/>
      <c r="C155" s="118"/>
      <c r="D155" s="118"/>
      <c r="E155" s="118"/>
      <c r="F155" s="118"/>
      <c r="G155" s="841"/>
      <c r="H155" s="118"/>
      <c r="I155" s="118"/>
      <c r="J155" s="118"/>
      <c r="K155" s="841"/>
    </row>
    <row r="156" spans="1:11" ht="12.75" customHeight="1" x14ac:dyDescent="0.3">
      <c r="A156" s="841"/>
      <c r="B156" s="841"/>
      <c r="C156" s="118"/>
      <c r="D156" s="118"/>
      <c r="E156" s="118"/>
      <c r="F156" s="118"/>
      <c r="G156" s="841"/>
      <c r="H156" s="118"/>
      <c r="I156" s="118"/>
      <c r="J156" s="118"/>
      <c r="K156" s="841"/>
    </row>
    <row r="157" spans="1:11" ht="12.75" customHeight="1" x14ac:dyDescent="0.3">
      <c r="A157" s="841"/>
      <c r="B157" s="841"/>
      <c r="C157" s="118"/>
      <c r="D157" s="118"/>
      <c r="E157" s="118"/>
      <c r="F157" s="118"/>
      <c r="G157" s="841"/>
      <c r="H157" s="118"/>
      <c r="I157" s="118"/>
      <c r="J157" s="118"/>
      <c r="K157" s="841"/>
    </row>
    <row r="158" spans="1:11" ht="12.75" customHeight="1" x14ac:dyDescent="0.3">
      <c r="A158" s="841"/>
      <c r="B158" s="841"/>
      <c r="C158" s="118"/>
      <c r="D158" s="118"/>
      <c r="E158" s="118"/>
      <c r="F158" s="118"/>
      <c r="G158" s="841"/>
      <c r="H158" s="118"/>
      <c r="I158" s="118"/>
      <c r="J158" s="118"/>
      <c r="K158" s="841"/>
    </row>
    <row r="159" spans="1:11" ht="12.75" customHeight="1" x14ac:dyDescent="0.3">
      <c r="A159" s="841"/>
      <c r="B159" s="841"/>
      <c r="C159" s="118"/>
      <c r="D159" s="118"/>
      <c r="E159" s="118"/>
      <c r="F159" s="118"/>
      <c r="G159" s="841"/>
      <c r="H159" s="118"/>
      <c r="I159" s="118"/>
      <c r="J159" s="118"/>
      <c r="K159" s="841"/>
    </row>
    <row r="160" spans="1:11" ht="12.75" customHeight="1" x14ac:dyDescent="0.3">
      <c r="A160" s="841"/>
      <c r="B160" s="841"/>
      <c r="C160" s="118"/>
      <c r="D160" s="118"/>
      <c r="E160" s="118"/>
      <c r="F160" s="118"/>
      <c r="G160" s="841"/>
      <c r="H160" s="118"/>
      <c r="I160" s="118"/>
      <c r="J160" s="118"/>
      <c r="K160" s="841"/>
    </row>
    <row r="161" spans="1:11" ht="12.75" customHeight="1" x14ac:dyDescent="0.3">
      <c r="A161" s="841"/>
      <c r="B161" s="841"/>
      <c r="C161" s="118"/>
      <c r="D161" s="118"/>
      <c r="E161" s="118"/>
      <c r="F161" s="118"/>
      <c r="G161" s="841"/>
      <c r="H161" s="118"/>
      <c r="I161" s="118"/>
      <c r="J161" s="118"/>
      <c r="K161" s="841"/>
    </row>
    <row r="162" spans="1:11" ht="12.75" customHeight="1" x14ac:dyDescent="0.3">
      <c r="A162" s="841"/>
      <c r="B162" s="841"/>
      <c r="C162" s="118"/>
      <c r="D162" s="118"/>
      <c r="E162" s="118"/>
      <c r="F162" s="118"/>
      <c r="G162" s="841"/>
      <c r="H162" s="118"/>
      <c r="I162" s="118"/>
      <c r="J162" s="118"/>
      <c r="K162" s="841"/>
    </row>
    <row r="163" spans="1:11" ht="12.75" customHeight="1" x14ac:dyDescent="0.3">
      <c r="A163" s="841"/>
      <c r="B163" s="841"/>
      <c r="C163" s="118"/>
      <c r="D163" s="118"/>
      <c r="E163" s="118"/>
      <c r="F163" s="118"/>
      <c r="G163" s="841"/>
      <c r="H163" s="118"/>
      <c r="I163" s="118"/>
      <c r="J163" s="118"/>
      <c r="K163" s="841"/>
    </row>
    <row r="164" spans="1:11" ht="12.75" customHeight="1" x14ac:dyDescent="0.3">
      <c r="A164" s="841"/>
      <c r="B164" s="841"/>
      <c r="C164" s="118"/>
      <c r="D164" s="118"/>
      <c r="E164" s="118"/>
      <c r="F164" s="118"/>
      <c r="G164" s="841"/>
      <c r="H164" s="118"/>
      <c r="I164" s="118"/>
      <c r="J164" s="118"/>
      <c r="K164" s="841"/>
    </row>
    <row r="165" spans="1:11" ht="12.75" customHeight="1" x14ac:dyDescent="0.3">
      <c r="A165" s="841"/>
      <c r="B165" s="841"/>
      <c r="C165" s="118"/>
      <c r="D165" s="118"/>
      <c r="E165" s="118"/>
      <c r="F165" s="118"/>
      <c r="G165" s="841"/>
      <c r="H165" s="118"/>
      <c r="I165" s="118"/>
      <c r="J165" s="118"/>
      <c r="K165" s="841"/>
    </row>
    <row r="166" spans="1:11" ht="12.75" customHeight="1" x14ac:dyDescent="0.3">
      <c r="A166" s="841"/>
      <c r="B166" s="841"/>
      <c r="C166" s="118"/>
      <c r="D166" s="118"/>
      <c r="E166" s="118"/>
      <c r="F166" s="118"/>
      <c r="G166" s="841"/>
      <c r="H166" s="118"/>
      <c r="I166" s="118"/>
      <c r="J166" s="118"/>
      <c r="K166" s="841"/>
    </row>
    <row r="167" spans="1:11" ht="12.75" customHeight="1" x14ac:dyDescent="0.3">
      <c r="A167" s="841"/>
      <c r="B167" s="841"/>
      <c r="C167" s="118"/>
      <c r="D167" s="118"/>
      <c r="E167" s="118"/>
      <c r="F167" s="118"/>
      <c r="G167" s="841"/>
      <c r="H167" s="118"/>
      <c r="I167" s="118"/>
      <c r="J167" s="118"/>
      <c r="K167" s="841"/>
    </row>
    <row r="168" spans="1:11" ht="12.75" customHeight="1" x14ac:dyDescent="0.3">
      <c r="A168" s="841"/>
      <c r="B168" s="841"/>
      <c r="C168" s="118"/>
      <c r="D168" s="118"/>
      <c r="E168" s="118"/>
      <c r="F168" s="118"/>
      <c r="G168" s="841"/>
      <c r="H168" s="118"/>
      <c r="I168" s="118"/>
      <c r="J168" s="118"/>
      <c r="K168" s="841"/>
    </row>
    <row r="169" spans="1:11" ht="12.75" customHeight="1" x14ac:dyDescent="0.3">
      <c r="A169" s="841"/>
      <c r="B169" s="841"/>
      <c r="C169" s="118"/>
      <c r="D169" s="118"/>
      <c r="E169" s="118"/>
      <c r="F169" s="118"/>
      <c r="G169" s="841"/>
      <c r="H169" s="118"/>
      <c r="I169" s="118"/>
      <c r="J169" s="118"/>
      <c r="K169" s="841"/>
    </row>
    <row r="170" spans="1:11" ht="12.75" customHeight="1" x14ac:dyDescent="0.3">
      <c r="A170" s="841"/>
      <c r="B170" s="841"/>
      <c r="C170" s="118"/>
      <c r="D170" s="118"/>
      <c r="E170" s="118"/>
      <c r="F170" s="118"/>
      <c r="G170" s="841"/>
      <c r="H170" s="118"/>
      <c r="I170" s="118"/>
      <c r="J170" s="118"/>
      <c r="K170" s="841"/>
    </row>
    <row r="171" spans="1:11" ht="12.75" customHeight="1" x14ac:dyDescent="0.3">
      <c r="A171" s="841"/>
      <c r="B171" s="841"/>
      <c r="C171" s="118"/>
      <c r="D171" s="118"/>
      <c r="E171" s="118"/>
      <c r="F171" s="118"/>
      <c r="G171" s="841"/>
      <c r="H171" s="118"/>
      <c r="I171" s="118"/>
      <c r="J171" s="118"/>
      <c r="K171" s="841"/>
    </row>
    <row r="172" spans="1:11" ht="12.75" customHeight="1" x14ac:dyDescent="0.3">
      <c r="A172" s="841"/>
      <c r="B172" s="841"/>
      <c r="C172" s="118"/>
      <c r="D172" s="118"/>
      <c r="E172" s="118"/>
      <c r="F172" s="118"/>
      <c r="G172" s="841"/>
      <c r="H172" s="118"/>
      <c r="I172" s="118"/>
      <c r="J172" s="118"/>
      <c r="K172" s="841"/>
    </row>
    <row r="173" spans="1:11" ht="12.75" customHeight="1" x14ac:dyDescent="0.3">
      <c r="A173" s="841"/>
      <c r="B173" s="841"/>
      <c r="C173" s="118"/>
      <c r="D173" s="118"/>
      <c r="E173" s="118"/>
      <c r="F173" s="118"/>
      <c r="G173" s="841"/>
      <c r="H173" s="118"/>
      <c r="I173" s="118"/>
      <c r="J173" s="118"/>
      <c r="K173" s="841"/>
    </row>
    <row r="174" spans="1:11" ht="12.75" customHeight="1" x14ac:dyDescent="0.3">
      <c r="A174" s="841"/>
      <c r="B174" s="841"/>
      <c r="C174" s="118"/>
      <c r="D174" s="118"/>
      <c r="E174" s="118"/>
      <c r="F174" s="118"/>
      <c r="G174" s="841"/>
      <c r="H174" s="118"/>
      <c r="I174" s="118"/>
      <c r="J174" s="118"/>
      <c r="K174" s="841"/>
    </row>
    <row r="175" spans="1:11" ht="12.75" customHeight="1" x14ac:dyDescent="0.3">
      <c r="A175" s="841"/>
      <c r="B175" s="841"/>
      <c r="C175" s="118"/>
      <c r="D175" s="118"/>
      <c r="E175" s="118"/>
      <c r="F175" s="118"/>
      <c r="G175" s="841"/>
      <c r="H175" s="118"/>
      <c r="I175" s="118"/>
      <c r="J175" s="118"/>
      <c r="K175" s="841"/>
    </row>
    <row r="176" spans="1:11" ht="12.75" customHeight="1" x14ac:dyDescent="0.3">
      <c r="A176" s="841"/>
      <c r="B176" s="841"/>
      <c r="C176" s="118"/>
      <c r="D176" s="118"/>
      <c r="E176" s="118"/>
      <c r="F176" s="118"/>
      <c r="G176" s="841"/>
      <c r="H176" s="118"/>
      <c r="I176" s="118"/>
      <c r="J176" s="118"/>
      <c r="K176" s="841"/>
    </row>
    <row r="177" spans="1:11" ht="12.75" customHeight="1" x14ac:dyDescent="0.3">
      <c r="A177" s="841"/>
      <c r="B177" s="841"/>
      <c r="C177" s="118"/>
      <c r="D177" s="118"/>
      <c r="E177" s="118"/>
      <c r="F177" s="118"/>
      <c r="G177" s="841"/>
      <c r="H177" s="118"/>
      <c r="I177" s="118"/>
      <c r="J177" s="118"/>
      <c r="K177" s="841"/>
    </row>
    <row r="178" spans="1:11" ht="12.75" customHeight="1" x14ac:dyDescent="0.3">
      <c r="A178" s="841"/>
      <c r="B178" s="841"/>
      <c r="C178" s="118"/>
      <c r="D178" s="118"/>
      <c r="E178" s="118"/>
      <c r="F178" s="118"/>
      <c r="G178" s="841"/>
      <c r="H178" s="118"/>
      <c r="I178" s="118"/>
      <c r="J178" s="118"/>
      <c r="K178" s="841"/>
    </row>
    <row r="179" spans="1:11" ht="12.75" customHeight="1" x14ac:dyDescent="0.3">
      <c r="A179" s="841"/>
      <c r="B179" s="841"/>
      <c r="C179" s="118"/>
      <c r="D179" s="118"/>
      <c r="E179" s="118"/>
      <c r="F179" s="118"/>
      <c r="G179" s="841"/>
      <c r="H179" s="118"/>
      <c r="I179" s="118"/>
      <c r="J179" s="118"/>
      <c r="K179" s="841"/>
    </row>
    <row r="180" spans="1:11" ht="12.75" customHeight="1" x14ac:dyDescent="0.3">
      <c r="A180" s="841"/>
      <c r="B180" s="841"/>
      <c r="C180" s="118"/>
      <c r="D180" s="118"/>
      <c r="E180" s="118"/>
      <c r="F180" s="118"/>
      <c r="G180" s="841"/>
      <c r="H180" s="118"/>
      <c r="I180" s="118"/>
      <c r="J180" s="118"/>
      <c r="K180" s="841"/>
    </row>
    <row r="181" spans="1:11" ht="12.75" customHeight="1" x14ac:dyDescent="0.3">
      <c r="A181" s="841"/>
      <c r="B181" s="841"/>
      <c r="C181" s="118"/>
      <c r="D181" s="118"/>
      <c r="E181" s="118"/>
      <c r="F181" s="118"/>
      <c r="G181" s="841"/>
      <c r="H181" s="118"/>
      <c r="I181" s="118"/>
      <c r="J181" s="118"/>
      <c r="K181" s="841"/>
    </row>
    <row r="182" spans="1:11" ht="12.75" customHeight="1" x14ac:dyDescent="0.3">
      <c r="A182" s="841"/>
      <c r="B182" s="841"/>
      <c r="C182" s="118"/>
      <c r="D182" s="118"/>
      <c r="E182" s="118"/>
      <c r="F182" s="118"/>
      <c r="G182" s="841"/>
      <c r="H182" s="118"/>
      <c r="I182" s="118"/>
      <c r="J182" s="118"/>
      <c r="K182" s="841"/>
    </row>
    <row r="183" spans="1:11" ht="12.75" customHeight="1" x14ac:dyDescent="0.3">
      <c r="A183" s="841"/>
      <c r="B183" s="841"/>
      <c r="C183" s="118"/>
      <c r="D183" s="118"/>
      <c r="E183" s="118"/>
      <c r="F183" s="118"/>
      <c r="G183" s="841"/>
      <c r="H183" s="118"/>
      <c r="I183" s="118"/>
      <c r="J183" s="118"/>
      <c r="K183" s="841"/>
    </row>
    <row r="184" spans="1:11" ht="12.75" customHeight="1" x14ac:dyDescent="0.3">
      <c r="A184" s="841"/>
      <c r="B184" s="841"/>
      <c r="C184" s="118"/>
      <c r="D184" s="118"/>
      <c r="E184" s="118"/>
      <c r="F184" s="118"/>
      <c r="G184" s="841"/>
      <c r="H184" s="118"/>
      <c r="I184" s="118"/>
      <c r="J184" s="118"/>
      <c r="K184" s="841"/>
    </row>
    <row r="185" spans="1:11" ht="12.75" customHeight="1" x14ac:dyDescent="0.3">
      <c r="A185" s="841"/>
      <c r="B185" s="841"/>
      <c r="C185" s="118"/>
      <c r="D185" s="118"/>
      <c r="E185" s="118"/>
      <c r="F185" s="118"/>
      <c r="G185" s="841"/>
      <c r="H185" s="118"/>
      <c r="I185" s="118"/>
      <c r="J185" s="118"/>
      <c r="K185" s="841"/>
    </row>
    <row r="186" spans="1:11" ht="12.75" customHeight="1" x14ac:dyDescent="0.3">
      <c r="A186" s="841"/>
      <c r="B186" s="841"/>
      <c r="C186" s="118"/>
      <c r="D186" s="118"/>
      <c r="E186" s="118"/>
      <c r="F186" s="118"/>
      <c r="G186" s="841"/>
      <c r="H186" s="118"/>
      <c r="I186" s="118"/>
      <c r="J186" s="118"/>
      <c r="K186" s="841"/>
    </row>
    <row r="187" spans="1:11" ht="12.75" customHeight="1" x14ac:dyDescent="0.3">
      <c r="A187" s="841"/>
      <c r="B187" s="841"/>
      <c r="C187" s="118"/>
      <c r="D187" s="118"/>
      <c r="E187" s="118"/>
      <c r="F187" s="118"/>
      <c r="G187" s="841"/>
      <c r="H187" s="118"/>
      <c r="I187" s="118"/>
      <c r="J187" s="118"/>
      <c r="K187" s="841"/>
    </row>
    <row r="188" spans="1:11" ht="12.75" customHeight="1" x14ac:dyDescent="0.3">
      <c r="A188" s="841"/>
      <c r="B188" s="841"/>
      <c r="C188" s="118"/>
      <c r="D188" s="118"/>
      <c r="E188" s="118"/>
      <c r="F188" s="118"/>
      <c r="G188" s="841"/>
      <c r="H188" s="118"/>
      <c r="I188" s="118"/>
      <c r="J188" s="118"/>
      <c r="K188" s="841"/>
    </row>
    <row r="189" spans="1:11" ht="12.75" customHeight="1" x14ac:dyDescent="0.3">
      <c r="A189" s="841"/>
      <c r="B189" s="841"/>
      <c r="C189" s="118"/>
      <c r="D189" s="118"/>
      <c r="E189" s="118"/>
      <c r="F189" s="118"/>
      <c r="G189" s="841"/>
      <c r="H189" s="118"/>
      <c r="I189" s="118"/>
      <c r="J189" s="118"/>
      <c r="K189" s="841"/>
    </row>
    <row r="190" spans="1:11" ht="12.75" customHeight="1" x14ac:dyDescent="0.3">
      <c r="A190" s="841"/>
      <c r="B190" s="841"/>
      <c r="C190" s="118"/>
      <c r="D190" s="118"/>
      <c r="E190" s="118"/>
      <c r="F190" s="118"/>
      <c r="G190" s="841"/>
      <c r="H190" s="118"/>
      <c r="I190" s="118"/>
      <c r="J190" s="118"/>
      <c r="K190" s="841"/>
    </row>
    <row r="191" spans="1:11" ht="12.75" customHeight="1" x14ac:dyDescent="0.3">
      <c r="A191" s="841"/>
      <c r="B191" s="841"/>
      <c r="C191" s="118"/>
      <c r="D191" s="118"/>
      <c r="E191" s="118"/>
      <c r="F191" s="118"/>
      <c r="G191" s="841"/>
      <c r="H191" s="118"/>
      <c r="I191" s="118"/>
      <c r="J191" s="118"/>
      <c r="K191" s="841"/>
    </row>
    <row r="192" spans="1:11" ht="12.75" customHeight="1" x14ac:dyDescent="0.3">
      <c r="A192" s="841"/>
      <c r="B192" s="841"/>
      <c r="C192" s="118"/>
      <c r="D192" s="118"/>
      <c r="E192" s="118"/>
      <c r="F192" s="118"/>
      <c r="G192" s="841"/>
      <c r="H192" s="118"/>
      <c r="I192" s="118"/>
      <c r="J192" s="118"/>
      <c r="K192" s="841"/>
    </row>
    <row r="193" spans="1:11" ht="12.75" customHeight="1" x14ac:dyDescent="0.3">
      <c r="A193" s="841"/>
      <c r="B193" s="841"/>
      <c r="C193" s="118"/>
      <c r="D193" s="118"/>
      <c r="E193" s="118"/>
      <c r="F193" s="118"/>
      <c r="G193" s="841"/>
      <c r="H193" s="118"/>
      <c r="I193" s="118"/>
      <c r="J193" s="118"/>
      <c r="K193" s="841"/>
    </row>
    <row r="194" spans="1:11" ht="12.75" customHeight="1" x14ac:dyDescent="0.3">
      <c r="A194" s="841"/>
      <c r="B194" s="841"/>
      <c r="C194" s="118"/>
      <c r="D194" s="118"/>
      <c r="E194" s="118"/>
      <c r="F194" s="118"/>
      <c r="G194" s="841"/>
      <c r="H194" s="118"/>
      <c r="I194" s="118"/>
      <c r="J194" s="118"/>
      <c r="K194" s="841"/>
    </row>
    <row r="195" spans="1:11" ht="12.75" customHeight="1" x14ac:dyDescent="0.3">
      <c r="A195" s="841"/>
      <c r="B195" s="841"/>
      <c r="C195" s="118"/>
      <c r="D195" s="118"/>
      <c r="E195" s="118"/>
      <c r="F195" s="118"/>
      <c r="G195" s="841"/>
      <c r="H195" s="118"/>
      <c r="I195" s="118"/>
      <c r="J195" s="118"/>
      <c r="K195" s="841"/>
    </row>
    <row r="196" spans="1:11" ht="12.75" customHeight="1" x14ac:dyDescent="0.3">
      <c r="A196" s="841"/>
      <c r="B196" s="841"/>
      <c r="C196" s="118"/>
      <c r="D196" s="118"/>
      <c r="E196" s="118"/>
      <c r="F196" s="118"/>
      <c r="G196" s="841"/>
      <c r="H196" s="118"/>
      <c r="I196" s="118"/>
      <c r="J196" s="118"/>
      <c r="K196" s="841"/>
    </row>
    <row r="197" spans="1:11" ht="12.75" customHeight="1" x14ac:dyDescent="0.3">
      <c r="A197" s="841"/>
      <c r="B197" s="841"/>
      <c r="C197" s="118"/>
      <c r="D197" s="118"/>
      <c r="E197" s="118"/>
      <c r="F197" s="118"/>
      <c r="G197" s="841"/>
      <c r="H197" s="118"/>
      <c r="I197" s="118"/>
      <c r="J197" s="118"/>
      <c r="K197" s="841"/>
    </row>
    <row r="198" spans="1:11" ht="12.75" customHeight="1" x14ac:dyDescent="0.3">
      <c r="A198" s="841"/>
      <c r="B198" s="841"/>
      <c r="C198" s="118"/>
      <c r="D198" s="118"/>
      <c r="E198" s="118"/>
      <c r="F198" s="118"/>
      <c r="G198" s="841"/>
      <c r="H198" s="118"/>
      <c r="I198" s="118"/>
      <c r="J198" s="118"/>
      <c r="K198" s="841"/>
    </row>
    <row r="199" spans="1:11" ht="12.75" customHeight="1" x14ac:dyDescent="0.3">
      <c r="A199" s="841"/>
      <c r="B199" s="841"/>
      <c r="C199" s="118"/>
      <c r="D199" s="118"/>
      <c r="E199" s="118"/>
      <c r="F199" s="118"/>
      <c r="G199" s="841"/>
      <c r="H199" s="118"/>
      <c r="I199" s="118"/>
      <c r="J199" s="118"/>
      <c r="K199" s="841"/>
    </row>
    <row r="200" spans="1:11" ht="12.75" customHeight="1" x14ac:dyDescent="0.3">
      <c r="A200" s="841"/>
      <c r="B200" s="841"/>
      <c r="C200" s="118"/>
      <c r="D200" s="118"/>
      <c r="E200" s="118"/>
      <c r="F200" s="118"/>
      <c r="G200" s="841"/>
      <c r="H200" s="118"/>
      <c r="I200" s="118"/>
      <c r="J200" s="118"/>
      <c r="K200" s="841"/>
    </row>
    <row r="201" spans="1:11" ht="12.75" customHeight="1" x14ac:dyDescent="0.3">
      <c r="A201" s="841"/>
      <c r="B201" s="841"/>
      <c r="C201" s="118"/>
      <c r="D201" s="118"/>
      <c r="E201" s="118"/>
      <c r="F201" s="118"/>
      <c r="G201" s="841"/>
      <c r="H201" s="118"/>
      <c r="I201" s="118"/>
      <c r="J201" s="118"/>
      <c r="K201" s="841"/>
    </row>
    <row r="202" spans="1:11" ht="12.75" customHeight="1" x14ac:dyDescent="0.3">
      <c r="A202" s="841"/>
      <c r="B202" s="841"/>
      <c r="C202" s="118"/>
      <c r="D202" s="118"/>
      <c r="E202" s="118"/>
      <c r="F202" s="118"/>
      <c r="G202" s="841"/>
      <c r="H202" s="118"/>
      <c r="I202" s="118"/>
      <c r="J202" s="118"/>
      <c r="K202" s="841"/>
    </row>
    <row r="203" spans="1:11" ht="12.75" customHeight="1" x14ac:dyDescent="0.3">
      <c r="A203" s="841"/>
      <c r="B203" s="841"/>
      <c r="C203" s="118"/>
      <c r="D203" s="118"/>
      <c r="E203" s="118"/>
      <c r="F203" s="118"/>
      <c r="G203" s="841"/>
      <c r="H203" s="118"/>
      <c r="I203" s="118"/>
      <c r="J203" s="118"/>
      <c r="K203" s="841"/>
    </row>
    <row r="204" spans="1:11" ht="12.75" customHeight="1" x14ac:dyDescent="0.3">
      <c r="A204" s="841"/>
      <c r="B204" s="841"/>
      <c r="C204" s="118"/>
      <c r="D204" s="118"/>
      <c r="E204" s="118"/>
      <c r="F204" s="118"/>
      <c r="G204" s="841"/>
      <c r="H204" s="118"/>
      <c r="I204" s="118"/>
      <c r="J204" s="118"/>
      <c r="K204" s="841"/>
    </row>
    <row r="205" spans="1:11" ht="12.75" customHeight="1" x14ac:dyDescent="0.3">
      <c r="A205" s="841"/>
      <c r="B205" s="841"/>
      <c r="C205" s="118"/>
      <c r="D205" s="118"/>
      <c r="E205" s="118"/>
      <c r="F205" s="118"/>
      <c r="G205" s="841"/>
      <c r="H205" s="118"/>
      <c r="I205" s="118"/>
      <c r="J205" s="118"/>
      <c r="K205" s="841"/>
    </row>
    <row r="206" spans="1:11" ht="12.75" customHeight="1" x14ac:dyDescent="0.3">
      <c r="A206" s="841"/>
      <c r="B206" s="841"/>
      <c r="C206" s="118"/>
      <c r="D206" s="118"/>
      <c r="E206" s="118"/>
      <c r="F206" s="118"/>
      <c r="G206" s="841"/>
      <c r="H206" s="118"/>
      <c r="I206" s="118"/>
      <c r="J206" s="118"/>
      <c r="K206" s="841"/>
    </row>
    <row r="207" spans="1:11" ht="12.75" customHeight="1" x14ac:dyDescent="0.3">
      <c r="A207" s="841"/>
      <c r="B207" s="841"/>
      <c r="C207" s="118"/>
      <c r="D207" s="118"/>
      <c r="E207" s="118"/>
      <c r="F207" s="118"/>
      <c r="G207" s="841"/>
      <c r="H207" s="118"/>
      <c r="I207" s="118"/>
      <c r="J207" s="118"/>
      <c r="K207" s="841"/>
    </row>
    <row r="208" spans="1:11" ht="12.75" customHeight="1" x14ac:dyDescent="0.3">
      <c r="A208" s="841"/>
      <c r="B208" s="841"/>
      <c r="C208" s="118"/>
      <c r="D208" s="118"/>
      <c r="E208" s="118"/>
      <c r="F208" s="118"/>
      <c r="G208" s="841"/>
      <c r="H208" s="118"/>
      <c r="I208" s="118"/>
      <c r="J208" s="118"/>
      <c r="K208" s="841"/>
    </row>
    <row r="209" spans="1:11" ht="12.75" customHeight="1" x14ac:dyDescent="0.3">
      <c r="A209" s="841"/>
      <c r="B209" s="841"/>
      <c r="C209" s="118"/>
      <c r="D209" s="118"/>
      <c r="E209" s="118"/>
      <c r="F209" s="118"/>
      <c r="G209" s="841"/>
      <c r="H209" s="118"/>
      <c r="I209" s="118"/>
      <c r="J209" s="118"/>
      <c r="K209" s="841"/>
    </row>
    <row r="210" spans="1:11" ht="12.75" customHeight="1" x14ac:dyDescent="0.3">
      <c r="A210" s="841"/>
      <c r="B210" s="841"/>
      <c r="C210" s="118"/>
      <c r="D210" s="118"/>
      <c r="E210" s="118"/>
      <c r="F210" s="118"/>
      <c r="G210" s="841"/>
      <c r="H210" s="118"/>
      <c r="I210" s="118"/>
      <c r="J210" s="118"/>
      <c r="K210" s="841"/>
    </row>
    <row r="211" spans="1:11" ht="12.75" customHeight="1" x14ac:dyDescent="0.3">
      <c r="A211" s="841"/>
      <c r="B211" s="841"/>
      <c r="C211" s="118"/>
      <c r="D211" s="118"/>
      <c r="E211" s="118"/>
      <c r="F211" s="118"/>
      <c r="G211" s="841"/>
      <c r="H211" s="118"/>
      <c r="I211" s="118"/>
      <c r="J211" s="118"/>
      <c r="K211" s="841"/>
    </row>
    <row r="212" spans="1:11" ht="12.75" customHeight="1" x14ac:dyDescent="0.3">
      <c r="A212" s="841"/>
      <c r="B212" s="841"/>
      <c r="C212" s="118"/>
      <c r="D212" s="118"/>
      <c r="E212" s="118"/>
      <c r="F212" s="118"/>
      <c r="G212" s="841"/>
      <c r="H212" s="118"/>
      <c r="I212" s="118"/>
      <c r="J212" s="118"/>
      <c r="K212" s="841"/>
    </row>
    <row r="213" spans="1:11" ht="12.75" customHeight="1" x14ac:dyDescent="0.3">
      <c r="A213" s="841"/>
      <c r="B213" s="841"/>
      <c r="C213" s="118"/>
      <c r="D213" s="118"/>
      <c r="E213" s="118"/>
      <c r="F213" s="118"/>
      <c r="G213" s="841"/>
      <c r="H213" s="118"/>
      <c r="I213" s="118"/>
      <c r="J213" s="118"/>
      <c r="K213" s="841"/>
    </row>
    <row r="214" spans="1:11" ht="12.75" customHeight="1" x14ac:dyDescent="0.3">
      <c r="A214" s="841"/>
      <c r="B214" s="841"/>
      <c r="C214" s="118"/>
      <c r="D214" s="118"/>
      <c r="E214" s="118"/>
      <c r="F214" s="118"/>
      <c r="G214" s="841"/>
      <c r="H214" s="118"/>
      <c r="I214" s="118"/>
      <c r="J214" s="118"/>
      <c r="K214" s="841"/>
    </row>
    <row r="215" spans="1:11" ht="12.75" customHeight="1" x14ac:dyDescent="0.3">
      <c r="A215" s="841"/>
      <c r="B215" s="841"/>
      <c r="C215" s="118"/>
      <c r="D215" s="118"/>
      <c r="E215" s="118"/>
      <c r="F215" s="118"/>
      <c r="G215" s="841"/>
      <c r="H215" s="118"/>
      <c r="I215" s="118"/>
      <c r="J215" s="118"/>
      <c r="K215" s="841"/>
    </row>
    <row r="216" spans="1:11" ht="12.75" customHeight="1" x14ac:dyDescent="0.3">
      <c r="A216" s="841"/>
      <c r="B216" s="841"/>
      <c r="C216" s="118"/>
      <c r="D216" s="118"/>
      <c r="E216" s="118"/>
      <c r="F216" s="118"/>
      <c r="G216" s="841"/>
      <c r="H216" s="118"/>
      <c r="I216" s="118"/>
      <c r="J216" s="118"/>
      <c r="K216" s="841"/>
    </row>
    <row r="217" spans="1:11" ht="12.75" customHeight="1" x14ac:dyDescent="0.3">
      <c r="A217" s="841"/>
      <c r="B217" s="841"/>
      <c r="C217" s="118"/>
      <c r="D217" s="118"/>
      <c r="E217" s="118"/>
      <c r="F217" s="118"/>
      <c r="G217" s="841"/>
      <c r="H217" s="118"/>
      <c r="I217" s="118"/>
      <c r="J217" s="118"/>
      <c r="K217" s="841"/>
    </row>
    <row r="218" spans="1:11" ht="12.75" customHeight="1" x14ac:dyDescent="0.3">
      <c r="A218" s="841"/>
      <c r="B218" s="841"/>
      <c r="C218" s="118"/>
      <c r="D218" s="118"/>
      <c r="E218" s="118"/>
      <c r="F218" s="118"/>
      <c r="G218" s="841"/>
      <c r="H218" s="118"/>
      <c r="I218" s="118"/>
      <c r="J218" s="118"/>
      <c r="K218" s="841"/>
    </row>
    <row r="219" spans="1:11" ht="12.75" customHeight="1" x14ac:dyDescent="0.3">
      <c r="A219" s="841"/>
      <c r="B219" s="841"/>
      <c r="C219" s="118"/>
      <c r="D219" s="118"/>
      <c r="E219" s="118"/>
      <c r="F219" s="118"/>
      <c r="G219" s="841"/>
      <c r="H219" s="118"/>
      <c r="I219" s="118"/>
      <c r="J219" s="118"/>
      <c r="K219" s="841"/>
    </row>
    <row r="220" spans="1:11" ht="12.75" customHeight="1" x14ac:dyDescent="0.3">
      <c r="A220" s="841"/>
      <c r="B220" s="841"/>
      <c r="C220" s="118"/>
      <c r="D220" s="118"/>
      <c r="E220" s="118"/>
      <c r="F220" s="118"/>
      <c r="G220" s="841"/>
      <c r="H220" s="118"/>
      <c r="I220" s="118"/>
      <c r="J220" s="118"/>
      <c r="K220" s="841"/>
    </row>
    <row r="221" spans="1:11" ht="12.75" customHeight="1" x14ac:dyDescent="0.3">
      <c r="A221" s="841"/>
      <c r="B221" s="841"/>
      <c r="C221" s="118"/>
      <c r="D221" s="118"/>
      <c r="E221" s="118"/>
      <c r="F221" s="118"/>
      <c r="G221" s="841"/>
      <c r="H221" s="118"/>
      <c r="I221" s="118"/>
      <c r="J221" s="118"/>
      <c r="K221" s="841"/>
    </row>
    <row r="222" spans="1:11" ht="12.75" customHeight="1" x14ac:dyDescent="0.3">
      <c r="A222" s="841"/>
      <c r="B222" s="841"/>
      <c r="C222" s="118"/>
      <c r="D222" s="118"/>
      <c r="E222" s="118"/>
      <c r="F222" s="118"/>
      <c r="G222" s="841"/>
      <c r="H222" s="118"/>
      <c r="I222" s="118"/>
      <c r="J222" s="118"/>
      <c r="K222" s="841"/>
    </row>
    <row r="223" spans="1:11" ht="12.75" customHeight="1" x14ac:dyDescent="0.3">
      <c r="A223" s="841"/>
      <c r="B223" s="841"/>
      <c r="C223" s="118"/>
      <c r="D223" s="118"/>
      <c r="E223" s="118"/>
      <c r="F223" s="118"/>
      <c r="G223" s="841"/>
      <c r="H223" s="118"/>
      <c r="I223" s="118"/>
      <c r="J223" s="118"/>
      <c r="K223" s="841"/>
    </row>
    <row r="224" spans="1:11" ht="12.75" customHeight="1" x14ac:dyDescent="0.3">
      <c r="A224" s="841"/>
      <c r="B224" s="841"/>
      <c r="C224" s="118"/>
      <c r="D224" s="118"/>
      <c r="E224" s="118"/>
      <c r="F224" s="118"/>
      <c r="G224" s="841"/>
      <c r="H224" s="118"/>
      <c r="I224" s="118"/>
      <c r="J224" s="118"/>
      <c r="K224" s="841"/>
    </row>
    <row r="225" spans="1:11" ht="12.75" customHeight="1" x14ac:dyDescent="0.3">
      <c r="A225" s="841"/>
      <c r="B225" s="841"/>
      <c r="C225" s="118"/>
      <c r="D225" s="118"/>
      <c r="E225" s="118"/>
      <c r="F225" s="118"/>
      <c r="G225" s="841"/>
      <c r="H225" s="118"/>
      <c r="I225" s="118"/>
      <c r="J225" s="118"/>
      <c r="K225" s="841"/>
    </row>
    <row r="226" spans="1:11" ht="12.75" customHeight="1" x14ac:dyDescent="0.3">
      <c r="A226" s="841"/>
      <c r="B226" s="841"/>
      <c r="C226" s="118"/>
      <c r="D226" s="118"/>
      <c r="E226" s="118"/>
      <c r="F226" s="118"/>
      <c r="G226" s="841"/>
      <c r="H226" s="118"/>
      <c r="I226" s="118"/>
      <c r="J226" s="118"/>
      <c r="K226" s="841"/>
    </row>
    <row r="227" spans="1:11" ht="12.75" customHeight="1" x14ac:dyDescent="0.3">
      <c r="A227" s="841"/>
      <c r="B227" s="841"/>
      <c r="C227" s="118"/>
      <c r="D227" s="118"/>
      <c r="E227" s="118"/>
      <c r="F227" s="118"/>
      <c r="G227" s="841"/>
      <c r="H227" s="118"/>
      <c r="I227" s="118"/>
      <c r="J227" s="118"/>
      <c r="K227" s="841"/>
    </row>
    <row r="228" spans="1:11" ht="12.75" customHeight="1" x14ac:dyDescent="0.3">
      <c r="A228" s="841"/>
      <c r="B228" s="841"/>
      <c r="C228" s="118"/>
      <c r="D228" s="118"/>
      <c r="E228" s="118"/>
      <c r="F228" s="118"/>
      <c r="G228" s="841"/>
      <c r="H228" s="118"/>
      <c r="I228" s="118"/>
      <c r="J228" s="118"/>
      <c r="K228" s="841"/>
    </row>
    <row r="229" spans="1:11" ht="12.75" customHeight="1" x14ac:dyDescent="0.3">
      <c r="A229" s="841"/>
      <c r="B229" s="841"/>
      <c r="C229" s="118"/>
      <c r="D229" s="118"/>
      <c r="E229" s="118"/>
      <c r="F229" s="118"/>
      <c r="G229" s="841"/>
      <c r="H229" s="118"/>
      <c r="I229" s="118"/>
      <c r="J229" s="118"/>
      <c r="K229" s="841"/>
    </row>
    <row r="230" spans="1:11" ht="12.75" customHeight="1" x14ac:dyDescent="0.3">
      <c r="A230" s="841"/>
      <c r="B230" s="841"/>
      <c r="C230" s="118"/>
      <c r="D230" s="118"/>
      <c r="E230" s="118"/>
      <c r="F230" s="118"/>
      <c r="G230" s="841"/>
      <c r="H230" s="118"/>
      <c r="I230" s="118"/>
      <c r="J230" s="118"/>
      <c r="K230" s="841"/>
    </row>
    <row r="231" spans="1:11" ht="12.75" customHeight="1" x14ac:dyDescent="0.3">
      <c r="A231" s="841"/>
      <c r="B231" s="841"/>
      <c r="C231" s="118"/>
      <c r="D231" s="118"/>
      <c r="E231" s="118"/>
      <c r="F231" s="118"/>
      <c r="G231" s="841"/>
      <c r="H231" s="118"/>
      <c r="I231" s="118"/>
      <c r="J231" s="118"/>
      <c r="K231" s="841"/>
    </row>
    <row r="232" spans="1:11" ht="12.75" customHeight="1" x14ac:dyDescent="0.3">
      <c r="A232" s="841"/>
      <c r="B232" s="841"/>
      <c r="C232" s="118"/>
      <c r="D232" s="118"/>
      <c r="E232" s="118"/>
      <c r="F232" s="118"/>
      <c r="G232" s="841"/>
      <c r="H232" s="118"/>
      <c r="I232" s="118"/>
      <c r="J232" s="118"/>
      <c r="K232" s="841"/>
    </row>
    <row r="233" spans="1:11" ht="12.75" customHeight="1" x14ac:dyDescent="0.3">
      <c r="A233" s="841"/>
      <c r="B233" s="841"/>
      <c r="C233" s="118"/>
      <c r="D233" s="118"/>
      <c r="E233" s="118"/>
      <c r="F233" s="118"/>
      <c r="G233" s="841"/>
      <c r="H233" s="118"/>
      <c r="I233" s="118"/>
      <c r="J233" s="118"/>
      <c r="K233" s="841"/>
    </row>
    <row r="234" spans="1:11" ht="12.75" customHeight="1" x14ac:dyDescent="0.3">
      <c r="A234" s="841"/>
      <c r="B234" s="841"/>
      <c r="C234" s="118"/>
      <c r="D234" s="118"/>
      <c r="E234" s="118"/>
      <c r="F234" s="118"/>
      <c r="G234" s="841"/>
      <c r="H234" s="118"/>
      <c r="I234" s="118"/>
      <c r="J234" s="118"/>
      <c r="K234" s="841"/>
    </row>
    <row r="235" spans="1:11" ht="12.75" customHeight="1" x14ac:dyDescent="0.3">
      <c r="A235" s="841"/>
      <c r="B235" s="841"/>
      <c r="C235" s="118"/>
      <c r="D235" s="118"/>
      <c r="E235" s="118"/>
      <c r="F235" s="118"/>
      <c r="G235" s="841"/>
      <c r="H235" s="118"/>
      <c r="I235" s="118"/>
      <c r="J235" s="118"/>
      <c r="K235" s="841"/>
    </row>
    <row r="236" spans="1:11" ht="12.75" customHeight="1" x14ac:dyDescent="0.3">
      <c r="A236" s="841"/>
      <c r="B236" s="841"/>
      <c r="C236" s="118"/>
      <c r="D236" s="118"/>
      <c r="E236" s="118"/>
      <c r="F236" s="118"/>
      <c r="G236" s="841"/>
      <c r="H236" s="118"/>
      <c r="I236" s="118"/>
      <c r="J236" s="118"/>
      <c r="K236" s="841"/>
    </row>
    <row r="237" spans="1:11" ht="12.75" customHeight="1" x14ac:dyDescent="0.3">
      <c r="A237" s="841"/>
      <c r="B237" s="841"/>
      <c r="C237" s="118"/>
      <c r="D237" s="118"/>
      <c r="E237" s="118"/>
      <c r="F237" s="118"/>
      <c r="G237" s="841"/>
      <c r="H237" s="118"/>
      <c r="I237" s="118"/>
      <c r="J237" s="118"/>
      <c r="K237" s="841"/>
    </row>
    <row r="238" spans="1:11" ht="12.75" customHeight="1" x14ac:dyDescent="0.3">
      <c r="A238" s="841"/>
      <c r="B238" s="841"/>
      <c r="C238" s="118"/>
      <c r="D238" s="118"/>
      <c r="E238" s="118"/>
      <c r="F238" s="118"/>
      <c r="G238" s="841"/>
      <c r="H238" s="118"/>
      <c r="I238" s="118"/>
      <c r="J238" s="118"/>
      <c r="K238" s="841"/>
    </row>
    <row r="239" spans="1:11" ht="12.75" customHeight="1" x14ac:dyDescent="0.3">
      <c r="A239" s="841"/>
      <c r="B239" s="841"/>
      <c r="C239" s="118"/>
      <c r="D239" s="118"/>
      <c r="E239" s="118"/>
      <c r="F239" s="118"/>
      <c r="G239" s="841"/>
      <c r="H239" s="118"/>
      <c r="I239" s="118"/>
      <c r="J239" s="118"/>
      <c r="K239" s="841"/>
    </row>
    <row r="240" spans="1:11" ht="12.75" customHeight="1" x14ac:dyDescent="0.3">
      <c r="A240" s="841"/>
      <c r="B240" s="841"/>
      <c r="C240" s="118"/>
      <c r="D240" s="118"/>
      <c r="E240" s="118"/>
      <c r="F240" s="118"/>
      <c r="G240" s="841"/>
      <c r="H240" s="118"/>
      <c r="I240" s="118"/>
      <c r="J240" s="118"/>
      <c r="K240" s="841"/>
    </row>
    <row r="241" spans="1:11" ht="12.75" customHeight="1" x14ac:dyDescent="0.3">
      <c r="A241" s="841"/>
      <c r="B241" s="841"/>
      <c r="C241" s="118"/>
      <c r="D241" s="118"/>
      <c r="E241" s="118"/>
      <c r="F241" s="118"/>
      <c r="G241" s="841"/>
      <c r="H241" s="118"/>
      <c r="I241" s="118"/>
      <c r="J241" s="118"/>
      <c r="K241" s="841"/>
    </row>
    <row r="242" spans="1:11" ht="12.75" customHeight="1" x14ac:dyDescent="0.3">
      <c r="A242" s="841"/>
      <c r="B242" s="841"/>
      <c r="C242" s="118"/>
      <c r="D242" s="118"/>
      <c r="E242" s="118"/>
      <c r="F242" s="118"/>
      <c r="G242" s="841"/>
      <c r="H242" s="118"/>
      <c r="I242" s="118"/>
      <c r="J242" s="118"/>
      <c r="K242" s="841"/>
    </row>
    <row r="243" spans="1:11" ht="12.75" customHeight="1" x14ac:dyDescent="0.3">
      <c r="A243" s="841"/>
      <c r="B243" s="841"/>
      <c r="C243" s="118"/>
      <c r="D243" s="118"/>
      <c r="E243" s="118"/>
      <c r="F243" s="118"/>
      <c r="G243" s="841"/>
      <c r="H243" s="118"/>
      <c r="I243" s="118"/>
      <c r="J243" s="118"/>
      <c r="K243" s="841"/>
    </row>
    <row r="244" spans="1:11" ht="12.75" customHeight="1" x14ac:dyDescent="0.3">
      <c r="A244" s="841"/>
      <c r="B244" s="841"/>
      <c r="C244" s="118"/>
      <c r="D244" s="118"/>
      <c r="E244" s="118"/>
      <c r="F244" s="118"/>
      <c r="G244" s="841"/>
      <c r="H244" s="118"/>
      <c r="I244" s="118"/>
      <c r="J244" s="118"/>
      <c r="K244" s="841"/>
    </row>
    <row r="245" spans="1:11" ht="12.75" customHeight="1" x14ac:dyDescent="0.3">
      <c r="A245" s="841"/>
      <c r="B245" s="841"/>
      <c r="C245" s="118"/>
      <c r="D245" s="118"/>
      <c r="E245" s="118"/>
      <c r="F245" s="118"/>
      <c r="G245" s="841"/>
      <c r="H245" s="118"/>
      <c r="I245" s="118"/>
      <c r="J245" s="118"/>
      <c r="K245" s="841"/>
    </row>
    <row r="246" spans="1:11" ht="12.75" customHeight="1" x14ac:dyDescent="0.3">
      <c r="A246" s="841"/>
      <c r="B246" s="841"/>
      <c r="C246" s="118"/>
      <c r="D246" s="118"/>
      <c r="E246" s="118"/>
      <c r="F246" s="118"/>
      <c r="G246" s="841"/>
      <c r="H246" s="118"/>
      <c r="I246" s="118"/>
      <c r="J246" s="118"/>
      <c r="K246" s="841"/>
    </row>
    <row r="247" spans="1:11" ht="12.75" customHeight="1" x14ac:dyDescent="0.3">
      <c r="A247" s="841"/>
      <c r="B247" s="841"/>
      <c r="C247" s="118"/>
      <c r="D247" s="118"/>
      <c r="E247" s="118"/>
      <c r="F247" s="118"/>
      <c r="G247" s="841"/>
      <c r="H247" s="118"/>
      <c r="I247" s="118"/>
      <c r="J247" s="118"/>
      <c r="K247" s="841"/>
    </row>
    <row r="248" spans="1:11" ht="12.75" customHeight="1" x14ac:dyDescent="0.3">
      <c r="A248" s="841"/>
      <c r="B248" s="841"/>
      <c r="C248" s="118"/>
      <c r="D248" s="118"/>
      <c r="E248" s="118"/>
      <c r="F248" s="118"/>
      <c r="G248" s="841"/>
      <c r="H248" s="118"/>
      <c r="I248" s="118"/>
      <c r="J248" s="118"/>
      <c r="K248" s="841"/>
    </row>
    <row r="249" spans="1:11" ht="12.75" customHeight="1" x14ac:dyDescent="0.3">
      <c r="A249" s="841"/>
      <c r="B249" s="841"/>
      <c r="C249" s="118"/>
      <c r="D249" s="118"/>
      <c r="E249" s="118"/>
      <c r="F249" s="118"/>
      <c r="G249" s="841"/>
      <c r="H249" s="118"/>
      <c r="I249" s="118"/>
      <c r="J249" s="118"/>
      <c r="K249" s="841"/>
    </row>
    <row r="250" spans="1:11" ht="12.75" customHeight="1" x14ac:dyDescent="0.3">
      <c r="A250" s="841"/>
      <c r="B250" s="841"/>
      <c r="C250" s="118"/>
      <c r="D250" s="118"/>
      <c r="E250" s="118"/>
      <c r="F250" s="118"/>
      <c r="G250" s="841"/>
      <c r="H250" s="118"/>
      <c r="I250" s="118"/>
      <c r="J250" s="118"/>
      <c r="K250" s="841"/>
    </row>
    <row r="251" spans="1:11" ht="15.75" customHeight="1" x14ac:dyDescent="0.3"/>
    <row r="252" spans="1:11" ht="15.75" customHeight="1" x14ac:dyDescent="0.3"/>
    <row r="253" spans="1:11" ht="15.75" customHeight="1" x14ac:dyDescent="0.3"/>
    <row r="254" spans="1:11" ht="15.75" customHeight="1" x14ac:dyDescent="0.3"/>
    <row r="255" spans="1:11" ht="15.75" customHeight="1" x14ac:dyDescent="0.3"/>
    <row r="256" spans="1:11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E1000"/>
  <sheetViews>
    <sheetView workbookViewId="0"/>
  </sheetViews>
  <sheetFormatPr baseColWidth="10" defaultColWidth="14.3984375" defaultRowHeight="15" customHeight="1" x14ac:dyDescent="0.3"/>
  <cols>
    <col min="1" max="6" width="10" customWidth="1"/>
    <col min="7" max="26" width="17.296875" customWidth="1"/>
  </cols>
  <sheetData>
    <row r="1" spans="2:5" ht="12.75" customHeight="1" x14ac:dyDescent="0.3">
      <c r="B1" s="118"/>
      <c r="C1" s="118"/>
      <c r="D1" s="118"/>
      <c r="E1" s="118"/>
    </row>
    <row r="2" spans="2:5" ht="12.75" customHeight="1" x14ac:dyDescent="0.3">
      <c r="B2" s="118"/>
      <c r="C2" s="118"/>
      <c r="D2" s="118"/>
      <c r="E2" s="118"/>
    </row>
    <row r="3" spans="2:5" ht="12.75" customHeight="1" x14ac:dyDescent="0.3">
      <c r="B3" s="118"/>
      <c r="C3" s="118"/>
      <c r="D3" s="118"/>
      <c r="E3" s="118"/>
    </row>
    <row r="4" spans="2:5" ht="12.75" customHeight="1" x14ac:dyDescent="0.3">
      <c r="B4" s="118"/>
      <c r="C4" s="118"/>
      <c r="D4" s="118"/>
      <c r="E4" s="118"/>
    </row>
    <row r="5" spans="2:5" ht="12.75" customHeight="1" x14ac:dyDescent="0.3">
      <c r="B5" s="118"/>
      <c r="C5" s="118"/>
      <c r="D5" s="118"/>
      <c r="E5" s="118"/>
    </row>
    <row r="6" spans="2:5" ht="12.75" customHeight="1" x14ac:dyDescent="0.3">
      <c r="B6" s="118"/>
      <c r="C6" s="118"/>
      <c r="D6" s="118"/>
      <c r="E6" s="118"/>
    </row>
    <row r="7" spans="2:5" ht="12.75" customHeight="1" x14ac:dyDescent="0.3">
      <c r="B7" s="118"/>
      <c r="C7" s="118"/>
      <c r="D7" s="118"/>
      <c r="E7" s="118"/>
    </row>
    <row r="8" spans="2:5" ht="12.75" customHeight="1" x14ac:dyDescent="0.3">
      <c r="B8" s="118"/>
      <c r="C8" s="118"/>
      <c r="D8" s="118"/>
      <c r="E8" s="118"/>
    </row>
    <row r="9" spans="2:5" ht="12.75" customHeight="1" x14ac:dyDescent="0.3">
      <c r="B9" s="118"/>
      <c r="C9" s="118"/>
      <c r="D9" s="118"/>
      <c r="E9" s="118"/>
    </row>
    <row r="10" spans="2:5" ht="12.75" customHeight="1" x14ac:dyDescent="0.3">
      <c r="B10" s="118"/>
      <c r="C10" s="118"/>
      <c r="D10" s="118"/>
      <c r="E10" s="118"/>
    </row>
    <row r="11" spans="2:5" ht="12.75" customHeight="1" x14ac:dyDescent="0.3">
      <c r="B11" s="118"/>
      <c r="C11" s="118"/>
      <c r="D11" s="118"/>
      <c r="E11" s="118"/>
    </row>
    <row r="12" spans="2:5" ht="12.75" customHeight="1" x14ac:dyDescent="0.3">
      <c r="B12" s="118"/>
      <c r="C12" s="118"/>
      <c r="D12" s="118"/>
      <c r="E12" s="118"/>
    </row>
    <row r="13" spans="2:5" ht="12.75" customHeight="1" x14ac:dyDescent="0.3">
      <c r="B13" s="118"/>
      <c r="C13" s="118"/>
      <c r="D13" s="118"/>
      <c r="E13" s="118"/>
    </row>
    <row r="14" spans="2:5" ht="12.75" customHeight="1" x14ac:dyDescent="0.3">
      <c r="B14" s="118"/>
      <c r="C14" s="118"/>
      <c r="D14" s="118"/>
      <c r="E14" s="118"/>
    </row>
    <row r="15" spans="2:5" ht="12.75" customHeight="1" x14ac:dyDescent="0.3">
      <c r="B15" s="118"/>
      <c r="C15" s="118"/>
      <c r="D15" s="118"/>
      <c r="E15" s="118"/>
    </row>
    <row r="16" spans="2:5" ht="12.75" customHeight="1" x14ac:dyDescent="0.3">
      <c r="B16" s="841"/>
      <c r="C16" s="118"/>
      <c r="D16" s="118"/>
      <c r="E16" s="841"/>
    </row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D1000"/>
  <sheetViews>
    <sheetView workbookViewId="0"/>
  </sheetViews>
  <sheetFormatPr baseColWidth="10" defaultColWidth="14.3984375" defaultRowHeight="15" customHeight="1" x14ac:dyDescent="0.3"/>
  <cols>
    <col min="1" max="1" width="10" customWidth="1"/>
    <col min="2" max="2" width="61.296875" customWidth="1"/>
    <col min="3" max="3" width="29.69921875" customWidth="1"/>
    <col min="4" max="4" width="14.69921875" customWidth="1"/>
    <col min="5" max="6" width="10" customWidth="1"/>
    <col min="7" max="26" width="17.296875" customWidth="1"/>
  </cols>
  <sheetData>
    <row r="1" spans="2:4" ht="12.75" customHeight="1" x14ac:dyDescent="0.3">
      <c r="B1" s="118"/>
      <c r="C1" s="118"/>
      <c r="D1" s="118"/>
    </row>
    <row r="2" spans="2:4" ht="12.75" customHeight="1" x14ac:dyDescent="0.3">
      <c r="B2" s="622" t="s">
        <v>752</v>
      </c>
      <c r="C2" s="622" t="s">
        <v>617</v>
      </c>
      <c r="D2" s="949">
        <v>42806</v>
      </c>
    </row>
    <row r="3" spans="2:4" ht="13" x14ac:dyDescent="0.3">
      <c r="B3" s="653" t="s">
        <v>807</v>
      </c>
      <c r="C3" s="118" t="s">
        <v>808</v>
      </c>
      <c r="D3" s="118"/>
    </row>
    <row r="4" spans="2:4" ht="13" x14ac:dyDescent="0.3">
      <c r="B4" s="653" t="s">
        <v>809</v>
      </c>
      <c r="C4" s="118"/>
      <c r="D4" s="118" t="s">
        <v>810</v>
      </c>
    </row>
    <row r="5" spans="2:4" ht="25.5" x14ac:dyDescent="0.3">
      <c r="B5" s="653" t="s">
        <v>811</v>
      </c>
      <c r="C5" s="118"/>
      <c r="D5" s="118"/>
    </row>
    <row r="6" spans="2:4" ht="13" x14ac:dyDescent="0.3">
      <c r="B6" s="653" t="s">
        <v>812</v>
      </c>
      <c r="C6" s="118" t="s">
        <v>813</v>
      </c>
      <c r="D6" s="118"/>
    </row>
    <row r="7" spans="2:4" ht="13" x14ac:dyDescent="0.3">
      <c r="B7" s="653" t="s">
        <v>814</v>
      </c>
      <c r="C7" s="118" t="s">
        <v>815</v>
      </c>
      <c r="D7" s="118"/>
    </row>
    <row r="8" spans="2:4" ht="25.5" x14ac:dyDescent="0.3">
      <c r="B8" s="653" t="s">
        <v>816</v>
      </c>
      <c r="C8" s="118"/>
      <c r="D8" s="118"/>
    </row>
    <row r="9" spans="2:4" ht="12.75" customHeight="1" x14ac:dyDescent="0.3">
      <c r="B9" s="653" t="s">
        <v>817</v>
      </c>
      <c r="C9" s="118"/>
      <c r="D9" s="118"/>
    </row>
    <row r="10" spans="2:4" ht="12.75" customHeight="1" x14ac:dyDescent="0.3">
      <c r="B10" s="118"/>
      <c r="C10" s="118"/>
      <c r="D10" s="118"/>
    </row>
    <row r="11" spans="2:4" ht="12.75" customHeight="1" x14ac:dyDescent="0.3">
      <c r="B11" s="118"/>
      <c r="C11" s="118"/>
      <c r="D11" s="118"/>
    </row>
    <row r="12" spans="2:4" ht="12.75" customHeight="1" x14ac:dyDescent="0.3">
      <c r="B12" s="118"/>
      <c r="C12" s="118"/>
      <c r="D12" s="118"/>
    </row>
    <row r="13" spans="2:4" ht="12.75" customHeight="1" x14ac:dyDescent="0.3">
      <c r="B13" s="118"/>
      <c r="C13" s="118"/>
      <c r="D13" s="118"/>
    </row>
    <row r="14" spans="2:4" ht="12.75" customHeight="1" x14ac:dyDescent="0.3">
      <c r="B14" s="118"/>
      <c r="C14" s="118"/>
      <c r="D14" s="118"/>
    </row>
    <row r="15" spans="2:4" ht="12.75" customHeight="1" x14ac:dyDescent="0.3">
      <c r="B15" s="118"/>
      <c r="C15" s="118"/>
      <c r="D15" s="118"/>
    </row>
    <row r="16" spans="2:4" ht="12.75" customHeight="1" x14ac:dyDescent="0.3">
      <c r="B16" s="118"/>
      <c r="C16" s="118"/>
      <c r="D16" s="118"/>
    </row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AA1000"/>
  <sheetViews>
    <sheetView workbookViewId="0"/>
  </sheetViews>
  <sheetFormatPr baseColWidth="10" defaultColWidth="14.3984375" defaultRowHeight="15" customHeight="1" x14ac:dyDescent="0.3"/>
  <cols>
    <col min="1" max="1" width="5.8984375" customWidth="1"/>
    <col min="2" max="2" width="36.8984375" customWidth="1"/>
    <col min="3" max="3" width="12" customWidth="1"/>
    <col min="4" max="5" width="9.59765625" customWidth="1"/>
    <col min="6" max="7" width="9.296875" customWidth="1"/>
    <col min="8" max="8" width="77.69921875" customWidth="1"/>
    <col min="9" max="16" width="12.59765625" customWidth="1"/>
    <col min="17" max="19" width="10" customWidth="1"/>
    <col min="20" max="27" width="17.296875" customWidth="1"/>
  </cols>
  <sheetData>
    <row r="1" spans="1:27" ht="21" x14ac:dyDescent="0.3">
      <c r="A1" s="118"/>
      <c r="B1" s="119" t="s">
        <v>103</v>
      </c>
      <c r="C1" s="120"/>
      <c r="D1" s="120"/>
      <c r="E1" s="120"/>
      <c r="F1" s="120"/>
      <c r="G1" s="120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27" ht="39.5" x14ac:dyDescent="0.35">
      <c r="A2" s="121" t="s">
        <v>104</v>
      </c>
      <c r="B2" s="121" t="s">
        <v>105</v>
      </c>
      <c r="C2" s="61" t="s">
        <v>106</v>
      </c>
      <c r="D2" s="122" t="s">
        <v>107</v>
      </c>
      <c r="E2" s="123" t="s">
        <v>108</v>
      </c>
      <c r="F2" s="124" t="s">
        <v>109</v>
      </c>
      <c r="G2" s="125" t="s">
        <v>110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7" ht="21" x14ac:dyDescent="0.35">
      <c r="A3" s="127"/>
      <c r="B3" s="128" t="s">
        <v>9</v>
      </c>
      <c r="C3" s="129"/>
      <c r="D3" s="129"/>
      <c r="E3" s="119"/>
      <c r="F3" s="119"/>
      <c r="G3" s="130"/>
      <c r="H3" s="131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27" ht="14.5" x14ac:dyDescent="0.35">
      <c r="A4" s="9">
        <f>Budsjettanalyse!A3</f>
        <v>3050</v>
      </c>
      <c r="B4" s="9" t="str">
        <f>Budsjettanalyse!B3</f>
        <v>Varesalg</v>
      </c>
      <c r="C4" s="132">
        <f t="shared" ref="C4:C6" si="0">D4+E4+F4+G4</f>
        <v>107750</v>
      </c>
      <c r="D4" s="133">
        <f>Sentralt!F41</f>
        <v>500</v>
      </c>
      <c r="E4" s="134">
        <f>-(Program!G4)</f>
        <v>107250</v>
      </c>
      <c r="F4" s="135"/>
      <c r="G4" s="136"/>
      <c r="H4" s="131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7" ht="14.5" x14ac:dyDescent="0.35">
      <c r="A5" s="9">
        <f>Budsjettanalyse!A4</f>
        <v>3110</v>
      </c>
      <c r="B5" s="9" t="str">
        <f>Budsjettanalyse!B4</f>
        <v>Inntekter fra lag med direkte kostnader</v>
      </c>
      <c r="C5" s="132">
        <f t="shared" si="0"/>
        <v>30000</v>
      </c>
      <c r="D5" s="133">
        <f>Sentralt!F42</f>
        <v>30000</v>
      </c>
      <c r="E5" s="137"/>
      <c r="F5" s="135"/>
      <c r="G5" s="136"/>
      <c r="H5" s="131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27" ht="14.5" x14ac:dyDescent="0.35">
      <c r="A6" s="9">
        <f>Budsjettanalyse!A5</f>
        <v>3115</v>
      </c>
      <c r="B6" s="9" t="str">
        <f>Budsjettanalyse!B5</f>
        <v>Nasjonal avgift</v>
      </c>
      <c r="C6" s="138">
        <f t="shared" si="0"/>
        <v>171000</v>
      </c>
      <c r="D6" s="133">
        <f>Sentralt!F44</f>
        <v>171000</v>
      </c>
      <c r="E6" s="137"/>
      <c r="F6" s="135"/>
      <c r="G6" s="136"/>
      <c r="H6" s="131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18"/>
      <c r="U6" s="118"/>
      <c r="V6" s="118"/>
      <c r="W6" s="118"/>
      <c r="X6" s="118"/>
      <c r="Y6" s="118"/>
      <c r="Z6" s="118"/>
      <c r="AA6" s="118"/>
    </row>
    <row r="7" spans="1:27" ht="14.5" x14ac:dyDescent="0.35">
      <c r="A7" s="9"/>
      <c r="B7" s="11" t="s">
        <v>111</v>
      </c>
      <c r="C7" s="139">
        <f t="shared" ref="C7:G7" si="1">SUM(C4:C6)</f>
        <v>308750</v>
      </c>
      <c r="D7" s="140">
        <f t="shared" si="1"/>
        <v>201500</v>
      </c>
      <c r="E7" s="140">
        <f t="shared" si="1"/>
        <v>107250</v>
      </c>
      <c r="F7" s="140">
        <f t="shared" si="1"/>
        <v>0</v>
      </c>
      <c r="G7" s="140">
        <f t="shared" si="1"/>
        <v>0</v>
      </c>
      <c r="H7" s="131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27" ht="14.5" x14ac:dyDescent="0.35">
      <c r="A8" s="9"/>
      <c r="B8" s="141"/>
      <c r="C8" s="142"/>
      <c r="D8" s="142"/>
      <c r="E8" s="142"/>
      <c r="F8" s="142"/>
      <c r="G8" s="142"/>
      <c r="H8" s="131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18"/>
      <c r="U8" s="118"/>
      <c r="V8" s="118"/>
      <c r="W8" s="118"/>
      <c r="X8" s="118"/>
      <c r="Y8" s="118"/>
      <c r="Z8" s="118"/>
      <c r="AA8" s="118"/>
    </row>
    <row r="9" spans="1:27" ht="14.5" x14ac:dyDescent="0.35">
      <c r="A9" s="9">
        <f>Budsjettanalyse!A8</f>
        <v>3900</v>
      </c>
      <c r="B9" s="9" t="str">
        <f>Budsjettanalyse!B8</f>
        <v>Andre driftsrelaterte inntekter</v>
      </c>
      <c r="C9" s="132">
        <f t="shared" ref="C9:C20" si="2">D9+E9+F9+G9</f>
        <v>70000</v>
      </c>
      <c r="D9" s="143">
        <f>Sentralt!F45</f>
        <v>20000</v>
      </c>
      <c r="E9" s="134">
        <f>-Program!G8</f>
        <v>50000</v>
      </c>
      <c r="F9" s="135"/>
      <c r="G9" s="136"/>
      <c r="H9" s="131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27" ht="14.5" x14ac:dyDescent="0.35">
      <c r="A10" s="9">
        <f>Budsjettanalyse!A9</f>
        <v>3901</v>
      </c>
      <c r="B10" s="9" t="str">
        <f>Budsjettanalyse!B9</f>
        <v>Momskompensasjon Inntekt</v>
      </c>
      <c r="C10" s="132">
        <f t="shared" si="2"/>
        <v>810000</v>
      </c>
      <c r="D10" s="143">
        <f>Sentralt!F47</f>
        <v>810000</v>
      </c>
      <c r="E10" s="134"/>
      <c r="F10" s="135"/>
      <c r="G10" s="136"/>
      <c r="H10" s="131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27" ht="14.5" x14ac:dyDescent="0.35">
      <c r="A11" s="9">
        <f>Budsjettanalyse!A10</f>
        <v>3902</v>
      </c>
      <c r="B11" s="9" t="str">
        <f>Budsjettanalyse!B10</f>
        <v>Deltakeravgift, program</v>
      </c>
      <c r="C11" s="132">
        <f t="shared" si="2"/>
        <v>198218.81720430107</v>
      </c>
      <c r="D11" s="143"/>
      <c r="E11" s="134">
        <f>-SUM(Program!G10:G12,Program!G21)</f>
        <v>198218.81720430107</v>
      </c>
      <c r="F11" s="135"/>
      <c r="G11" s="136"/>
      <c r="H11" s="131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18"/>
      <c r="U11" s="118"/>
      <c r="V11" s="118"/>
      <c r="W11" s="118"/>
      <c r="X11" s="118"/>
      <c r="Y11" s="118"/>
      <c r="Z11" s="118"/>
      <c r="AA11" s="118"/>
    </row>
    <row r="12" spans="1:27" ht="14.5" x14ac:dyDescent="0.35">
      <c r="A12" s="9">
        <f>Budsjettanalyse!A11</f>
        <v>3903</v>
      </c>
      <c r="B12" s="9" t="str">
        <f>Budsjettanalyse!B11</f>
        <v>Viderefakturering internasjonale kostnader</v>
      </c>
      <c r="C12" s="132">
        <f t="shared" si="2"/>
        <v>24806.02</v>
      </c>
      <c r="D12" s="143">
        <f>Sentralt!F48</f>
        <v>24806.02</v>
      </c>
      <c r="E12" s="134"/>
      <c r="F12" s="135"/>
      <c r="G12" s="136"/>
      <c r="H12" s="131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18"/>
      <c r="U12" s="118"/>
      <c r="V12" s="118"/>
      <c r="W12" s="118"/>
      <c r="X12" s="118"/>
      <c r="Y12" s="118"/>
      <c r="Z12" s="118"/>
      <c r="AA12" s="118"/>
    </row>
    <row r="13" spans="1:27" ht="14.5" x14ac:dyDescent="0.35">
      <c r="A13" s="9">
        <f>Budsjettanalyse!A12</f>
        <v>3904</v>
      </c>
      <c r="B13" s="9" t="str">
        <f>Budsjettanalyse!B12</f>
        <v>Deltakeravgifter, nasjonale seminarer</v>
      </c>
      <c r="C13" s="132">
        <f t="shared" si="2"/>
        <v>201065.77934086259</v>
      </c>
      <c r="D13" s="143">
        <f>Sentralt!F51</f>
        <v>201065.77934086259</v>
      </c>
      <c r="E13" s="134"/>
      <c r="F13" s="135"/>
      <c r="G13" s="136"/>
      <c r="H13" s="131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18"/>
      <c r="U13" s="118"/>
      <c r="V13" s="118"/>
      <c r="W13" s="118"/>
      <c r="X13" s="118"/>
      <c r="Y13" s="118"/>
      <c r="Z13" s="118"/>
      <c r="AA13" s="118"/>
    </row>
    <row r="14" spans="1:27" ht="14.5" x14ac:dyDescent="0.35">
      <c r="A14" s="9">
        <f>Budsjettanalyse!A13</f>
        <v>3910</v>
      </c>
      <c r="B14" s="9" t="str">
        <f>Budsjettanalyse!B13</f>
        <v>Fordelingsutvalget nasjonal grunnstøtte</v>
      </c>
      <c r="C14" s="132">
        <f t="shared" si="2"/>
        <v>1579261</v>
      </c>
      <c r="D14" s="143">
        <f>Sentralt!F52</f>
        <v>1579261</v>
      </c>
      <c r="E14" s="134"/>
      <c r="F14" s="135"/>
      <c r="G14" s="136"/>
      <c r="H14" s="131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27" ht="14.5" x14ac:dyDescent="0.35">
      <c r="A15" s="9">
        <f>Budsjettanalyse!A14</f>
        <v>3915</v>
      </c>
      <c r="B15" s="9" t="str">
        <f>Budsjettanalyse!B14</f>
        <v>Fordelingsutvalget internasjonal grunnstøtte</v>
      </c>
      <c r="C15" s="132">
        <f t="shared" si="2"/>
        <v>873000</v>
      </c>
      <c r="D15" s="143">
        <f>Sentralt!L55</f>
        <v>305550</v>
      </c>
      <c r="E15" s="134">
        <f>Sentralt!L54</f>
        <v>567450</v>
      </c>
      <c r="F15" s="135"/>
      <c r="G15" s="136"/>
      <c r="H15" s="131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27" ht="14.5" x14ac:dyDescent="0.35">
      <c r="A16" s="9">
        <f>Budsjettanalyse!A15</f>
        <v>3922</v>
      </c>
      <c r="B16" s="9" t="str">
        <f>Budsjettanalyse!B15</f>
        <v>Internasjonale avgifter, forsikring og EMEA</v>
      </c>
      <c r="C16" s="132">
        <f t="shared" si="2"/>
        <v>1092015.5618285714</v>
      </c>
      <c r="D16" s="143"/>
      <c r="E16" s="134">
        <f>-SUM(Program!G16:G18)</f>
        <v>1092015.5618285714</v>
      </c>
      <c r="F16" s="135"/>
      <c r="G16" s="136"/>
      <c r="H16" s="131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27" ht="14.5" x14ac:dyDescent="0.35">
      <c r="A17" s="9">
        <f>Budsjettanalyse!A16</f>
        <v>3927</v>
      </c>
      <c r="B17" s="9" t="str">
        <f>Budsjettanalyse!B16</f>
        <v>Frifondmidler</v>
      </c>
      <c r="C17" s="132">
        <f t="shared" si="2"/>
        <v>510000</v>
      </c>
      <c r="D17" s="143">
        <f>Sentralt!F54</f>
        <v>510000</v>
      </c>
      <c r="E17" s="134"/>
      <c r="F17" s="135"/>
      <c r="G17" s="136"/>
      <c r="H17" s="131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27" ht="14.5" x14ac:dyDescent="0.35">
      <c r="A18" s="9">
        <f>Budsjettanalyse!A17</f>
        <v>3930</v>
      </c>
      <c r="B18" s="9" t="str">
        <f>Budsjettanalyse!B17</f>
        <v>Verden i - UDI-støtte</v>
      </c>
      <c r="C18" s="132">
        <f t="shared" si="2"/>
        <v>0</v>
      </c>
      <c r="D18" s="143">
        <f>Sentralt!F55</f>
        <v>0</v>
      </c>
      <c r="E18" s="134"/>
      <c r="F18" s="135"/>
      <c r="G18" s="136">
        <f>Prosjekter!E6-D18</f>
        <v>0</v>
      </c>
      <c r="H18" s="131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27" ht="14.5" x14ac:dyDescent="0.35">
      <c r="A19" s="9">
        <f>Budsjettanalyse!A19</f>
        <v>3950</v>
      </c>
      <c r="B19" s="9" t="str">
        <f>Budsjettanalyse!B19</f>
        <v>Medlemskontingent</v>
      </c>
      <c r="C19" s="132">
        <f t="shared" si="2"/>
        <v>140000</v>
      </c>
      <c r="D19" s="143">
        <f>Sentralt!F56</f>
        <v>140000</v>
      </c>
      <c r="E19" s="134"/>
      <c r="F19" s="135"/>
      <c r="G19" s="136"/>
      <c r="H19" s="131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27" ht="14.5" x14ac:dyDescent="0.35">
      <c r="A20" s="9">
        <f>Budsjettanalyse!A21</f>
        <v>3970</v>
      </c>
      <c r="B20" s="9" t="str">
        <f>Budsjettanalyse!B21</f>
        <v>Gaver som gir fradrag</v>
      </c>
      <c r="C20" s="132">
        <f t="shared" si="2"/>
        <v>2000</v>
      </c>
      <c r="D20" s="143">
        <f>Sentralt!F57</f>
        <v>2000</v>
      </c>
      <c r="E20" s="134"/>
      <c r="F20" s="135"/>
      <c r="G20" s="136"/>
      <c r="H20" s="131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18"/>
      <c r="U20" s="118"/>
      <c r="V20" s="118"/>
      <c r="W20" s="118"/>
      <c r="X20" s="118"/>
      <c r="Y20" s="118"/>
      <c r="Z20" s="118"/>
      <c r="AA20" s="118"/>
    </row>
    <row r="21" spans="1:27" ht="14.5" x14ac:dyDescent="0.35">
      <c r="A21" s="144"/>
      <c r="B21" s="11" t="s">
        <v>29</v>
      </c>
      <c r="C21" s="139">
        <f t="shared" ref="C21:G21" si="3">SUM(C9:C20)</f>
        <v>5500367.1783737354</v>
      </c>
      <c r="D21" s="140">
        <f t="shared" si="3"/>
        <v>3592682.7993408628</v>
      </c>
      <c r="E21" s="140">
        <f t="shared" si="3"/>
        <v>1907684.3790328724</v>
      </c>
      <c r="F21" s="140">
        <f t="shared" si="3"/>
        <v>0</v>
      </c>
      <c r="G21" s="140">
        <f t="shared" si="3"/>
        <v>0</v>
      </c>
      <c r="H21" s="131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27" ht="14.5" x14ac:dyDescent="0.35">
      <c r="A22" s="144"/>
      <c r="B22" s="141"/>
      <c r="C22" s="142"/>
      <c r="D22" s="142"/>
      <c r="E22" s="142"/>
      <c r="F22" s="142"/>
      <c r="G22" s="142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</row>
    <row r="23" spans="1:27" ht="14.5" x14ac:dyDescent="0.35">
      <c r="A23" s="11"/>
      <c r="B23" s="145" t="s">
        <v>112</v>
      </c>
      <c r="C23" s="146">
        <f t="shared" ref="C23:G23" si="4">C7+C21</f>
        <v>5809117.1783737354</v>
      </c>
      <c r="D23" s="147">
        <f t="shared" si="4"/>
        <v>3794182.7993408628</v>
      </c>
      <c r="E23" s="140">
        <f t="shared" si="4"/>
        <v>2014934.3790328724</v>
      </c>
      <c r="F23" s="140">
        <f t="shared" si="4"/>
        <v>0</v>
      </c>
      <c r="G23" s="148">
        <f t="shared" si="4"/>
        <v>0</v>
      </c>
      <c r="H23" s="131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27" ht="14.5" x14ac:dyDescent="0.35">
      <c r="A24" s="38"/>
      <c r="B24" s="9"/>
      <c r="C24" s="149"/>
      <c r="D24" s="149"/>
      <c r="E24" s="149"/>
      <c r="F24" s="149"/>
      <c r="G24" s="149"/>
      <c r="H24" s="131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27" ht="21" x14ac:dyDescent="0.35">
      <c r="A25" s="150"/>
      <c r="B25" s="151" t="s">
        <v>31</v>
      </c>
      <c r="C25" s="152"/>
      <c r="D25" s="153"/>
      <c r="E25" s="152"/>
      <c r="F25" s="152"/>
      <c r="G25" s="154"/>
      <c r="H25" s="131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27" ht="14.5" x14ac:dyDescent="0.35">
      <c r="A26" s="9">
        <f>Budsjettanalyse!A27</f>
        <v>4010</v>
      </c>
      <c r="B26" s="9" t="str">
        <f>Budsjettanalyse!B27</f>
        <v>Varekjøp</v>
      </c>
      <c r="C26" s="132">
        <f t="shared" ref="C26:C32" si="5">D26+E26+F26+G26</f>
        <v>192500</v>
      </c>
      <c r="D26" s="143">
        <f>Sentralt!F63</f>
        <v>0</v>
      </c>
      <c r="E26" s="134">
        <f>Program!G28</f>
        <v>192500</v>
      </c>
      <c r="F26" s="135"/>
      <c r="G26" s="136"/>
      <c r="H26" s="131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27" ht="14.5" x14ac:dyDescent="0.35">
      <c r="A27" s="9">
        <f>Budsjettanalyse!A28</f>
        <v>4610</v>
      </c>
      <c r="B27" s="9" t="str">
        <f>Budsjettanalyse!B28</f>
        <v>Leirstøtte til fylkeslagene</v>
      </c>
      <c r="C27" s="132">
        <f t="shared" si="5"/>
        <v>523000</v>
      </c>
      <c r="D27" s="143"/>
      <c r="E27" s="134">
        <f>SUM(Program!G30:G33)</f>
        <v>499000</v>
      </c>
      <c r="F27" s="135">
        <f>Komitéer!H14</f>
        <v>24000</v>
      </c>
      <c r="G27" s="136"/>
      <c r="H27" s="131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27" ht="14.5" x14ac:dyDescent="0.35">
      <c r="A28" s="9">
        <f>Budsjettanalyse!A29</f>
        <v>4922</v>
      </c>
      <c r="B28" s="9" t="str">
        <f>Budsjettanalyse!B29</f>
        <v>Netto IO: Avgifter, forsikring og EMEA</v>
      </c>
      <c r="C28" s="132">
        <f t="shared" si="5"/>
        <v>633044.43442857114</v>
      </c>
      <c r="D28" s="143">
        <f>Sentralt!F64</f>
        <v>25458.752</v>
      </c>
      <c r="E28" s="134">
        <f>Program!G20+SUM(Program!G35:G37)+Program!G66</f>
        <v>607585.68242857116</v>
      </c>
      <c r="F28" s="135"/>
      <c r="G28" s="136"/>
      <c r="H28" s="131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27" ht="14.5" x14ac:dyDescent="0.35">
      <c r="A29" s="9">
        <f>Budsjettanalyse!A30</f>
        <v>4927</v>
      </c>
      <c r="B29" s="9" t="str">
        <f>Budsjettanalyse!B30</f>
        <v>Frifondmidler, utbetaling til lokallag</v>
      </c>
      <c r="C29" s="132">
        <f t="shared" si="5"/>
        <v>484500</v>
      </c>
      <c r="D29" s="143">
        <f>Sentralt!F69</f>
        <v>484500</v>
      </c>
      <c r="E29" s="134"/>
      <c r="F29" s="135"/>
      <c r="G29" s="136"/>
      <c r="H29" s="131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27" ht="14.5" x14ac:dyDescent="0.35">
      <c r="A30" s="9">
        <f>Budsjettanalyse!A31</f>
        <v>4928</v>
      </c>
      <c r="B30" s="9" t="str">
        <f>Budsjettanalyse!B31</f>
        <v>Momskompensasjon, utbetaling til lokallag</v>
      </c>
      <c r="C30" s="132">
        <f t="shared" si="5"/>
        <v>526500</v>
      </c>
      <c r="D30" s="143">
        <f>Sentralt!F70</f>
        <v>526500</v>
      </c>
      <c r="E30" s="134"/>
      <c r="F30" s="135"/>
      <c r="G30" s="136"/>
      <c r="H30" s="131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27" ht="14.5" x14ac:dyDescent="0.35">
      <c r="A31" s="9">
        <f>Budsjettanalyse!A32</f>
        <v>4929</v>
      </c>
      <c r="B31" s="9" t="str">
        <f>Budsjettanalyse!B32</f>
        <v>Medlemskontingent, utbetaling til lokallag</v>
      </c>
      <c r="C31" s="132">
        <f t="shared" si="5"/>
        <v>140000</v>
      </c>
      <c r="D31" s="143">
        <f>Sentralt!F71</f>
        <v>140000</v>
      </c>
      <c r="E31" s="134"/>
      <c r="F31" s="135"/>
      <c r="G31" s="136"/>
      <c r="H31" s="131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27" ht="14.5" x14ac:dyDescent="0.35">
      <c r="A32" s="9">
        <f>Budsjettanalyse!A33</f>
        <v>4930</v>
      </c>
      <c r="B32" s="9" t="str">
        <f>Budsjettanalyse!B33</f>
        <v>Verden i - overføring til lokallag</v>
      </c>
      <c r="C32" s="132">
        <f t="shared" si="5"/>
        <v>0</v>
      </c>
      <c r="D32" s="143"/>
      <c r="E32" s="134"/>
      <c r="F32" s="135"/>
      <c r="G32" s="136">
        <f>Prosjekter!F6</f>
        <v>0</v>
      </c>
      <c r="H32" s="131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27" ht="14.5" x14ac:dyDescent="0.35">
      <c r="A33" s="9"/>
      <c r="B33" s="11" t="s">
        <v>113</v>
      </c>
      <c r="C33" s="139">
        <f>SUM(C26:C28,C29:C32)</f>
        <v>2499544.4344285713</v>
      </c>
      <c r="D33" s="147">
        <f>SUM(D26:D32)</f>
        <v>1176458.7519999999</v>
      </c>
      <c r="E33" s="140">
        <f>SUM(E26:E28,E29:E32)</f>
        <v>1299085.6824285712</v>
      </c>
      <c r="F33" s="140">
        <f t="shared" ref="F33:G33" si="6">SUM(F26:F32)</f>
        <v>24000</v>
      </c>
      <c r="G33" s="148">
        <f t="shared" si="6"/>
        <v>0</v>
      </c>
      <c r="H33" s="131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27" ht="14.5" x14ac:dyDescent="0.35">
      <c r="A34" s="9"/>
      <c r="B34" s="126"/>
      <c r="C34" s="149"/>
      <c r="D34" s="149"/>
      <c r="E34" s="149"/>
      <c r="F34" s="149"/>
      <c r="G34" s="149"/>
      <c r="H34" s="131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18"/>
      <c r="U34" s="118"/>
      <c r="V34" s="118"/>
      <c r="W34" s="118"/>
      <c r="X34" s="118"/>
      <c r="Y34" s="118"/>
      <c r="Z34" s="118"/>
      <c r="AA34" s="118"/>
    </row>
    <row r="35" spans="1:27" ht="14.5" hidden="1" x14ac:dyDescent="0.35">
      <c r="A35" s="9">
        <f>Budsjettanalyse!A37</f>
        <v>5000</v>
      </c>
      <c r="B35" s="9" t="str">
        <f>Budsjettanalyse!B37</f>
        <v>Lønn</v>
      </c>
      <c r="C35" s="132">
        <f t="shared" ref="C35:C40" si="7">D35+E35+F35+G35</f>
        <v>815629.5</v>
      </c>
      <c r="D35" s="143">
        <f>Sentralt!F75</f>
        <v>815629.5</v>
      </c>
      <c r="E35" s="155"/>
      <c r="F35" s="155"/>
      <c r="G35" s="155"/>
      <c r="H35" s="131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27" ht="14.5" hidden="1" x14ac:dyDescent="0.35">
      <c r="A36" s="9">
        <f>Budsjettanalyse!A38</f>
        <v>5020</v>
      </c>
      <c r="B36" s="9" t="str">
        <f>Budsjettanalyse!B38</f>
        <v>Feriepenger</v>
      </c>
      <c r="C36" s="132">
        <f t="shared" si="7"/>
        <v>97875.54</v>
      </c>
      <c r="D36" s="143">
        <f>Sentralt!F81</f>
        <v>97875.54</v>
      </c>
      <c r="E36" s="155"/>
      <c r="F36" s="155"/>
      <c r="G36" s="155"/>
      <c r="H36" s="131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27" ht="14.5" hidden="1" x14ac:dyDescent="0.35">
      <c r="A37" s="9">
        <f>Budsjettanalyse!A39</f>
        <v>5400</v>
      </c>
      <c r="B37" s="9" t="str">
        <f>Budsjettanalyse!B39</f>
        <v>Arbeidsgiveravgift</v>
      </c>
      <c r="C37" s="132">
        <f t="shared" si="7"/>
        <v>120753.94747499998</v>
      </c>
      <c r="D37" s="143">
        <f>Sentralt!F82</f>
        <v>120753.94747499998</v>
      </c>
      <c r="E37" s="155"/>
      <c r="F37" s="155"/>
      <c r="G37" s="155"/>
      <c r="H37" s="131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27" ht="14.5" hidden="1" x14ac:dyDescent="0.35">
      <c r="A38" s="9">
        <f>Budsjettanalyse!A40</f>
        <v>5411</v>
      </c>
      <c r="B38" s="9" t="str">
        <f>Budsjettanalyse!B40</f>
        <v>Arbeidsgiveravgift av opptjente feriepenger</v>
      </c>
      <c r="C38" s="132">
        <f t="shared" si="7"/>
        <v>13800.451139999997</v>
      </c>
      <c r="D38" s="143">
        <f>Sentralt!F83</f>
        <v>13800.451139999997</v>
      </c>
      <c r="E38" s="155"/>
      <c r="F38" s="155"/>
      <c r="G38" s="155"/>
      <c r="H38" s="131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27" ht="14.5" hidden="1" x14ac:dyDescent="0.35">
      <c r="A39" s="9">
        <f>Budsjettanalyse!A41</f>
        <v>5420</v>
      </c>
      <c r="B39" s="9" t="str">
        <f>Budsjettanalyse!B41</f>
        <v>Innberetningspliktige pensjonskostnader</v>
      </c>
      <c r="C39" s="132">
        <f t="shared" si="7"/>
        <v>40781.475000000006</v>
      </c>
      <c r="D39" s="143">
        <f>Sentralt!F84</f>
        <v>40781.475000000006</v>
      </c>
      <c r="E39" s="155"/>
      <c r="F39" s="155"/>
      <c r="G39" s="155"/>
      <c r="H39" s="131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27" ht="14.5" hidden="1" x14ac:dyDescent="0.35">
      <c r="A40" s="9">
        <f>Budsjettanalyse!A45</f>
        <v>5920</v>
      </c>
      <c r="B40" s="9" t="str">
        <f>Budsjettanalyse!B45</f>
        <v>Personalforsikring</v>
      </c>
      <c r="C40" s="132">
        <f t="shared" si="7"/>
        <v>3000</v>
      </c>
      <c r="D40" s="143">
        <f>Sentralt!F85</f>
        <v>3000</v>
      </c>
      <c r="E40" s="155"/>
      <c r="F40" s="155"/>
      <c r="G40" s="155"/>
      <c r="H40" s="131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27" ht="14.5" x14ac:dyDescent="0.35">
      <c r="A41" s="38"/>
      <c r="B41" s="11" t="s">
        <v>50</v>
      </c>
      <c r="C41" s="139">
        <f t="shared" ref="C41:G41" si="8">SUM(C35:C40)</f>
        <v>1091840.913615</v>
      </c>
      <c r="D41" s="147">
        <f t="shared" si="8"/>
        <v>1091840.913615</v>
      </c>
      <c r="E41" s="140">
        <f t="shared" si="8"/>
        <v>0</v>
      </c>
      <c r="F41" s="140">
        <f t="shared" si="8"/>
        <v>0</v>
      </c>
      <c r="G41" s="148">
        <f t="shared" si="8"/>
        <v>0</v>
      </c>
      <c r="H41" s="131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27" ht="14.5" x14ac:dyDescent="0.35">
      <c r="A42" s="38"/>
      <c r="B42" s="156"/>
      <c r="C42" s="157"/>
      <c r="D42" s="157"/>
      <c r="E42" s="157"/>
      <c r="F42" s="157"/>
      <c r="G42" s="157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</row>
    <row r="43" spans="1:27" ht="14.5" x14ac:dyDescent="0.35">
      <c r="A43" s="9">
        <f>Budsjettanalyse!A48</f>
        <v>6300</v>
      </c>
      <c r="B43" s="24" t="str">
        <f>Budsjettanalyse!B48</f>
        <v>Kontorleie</v>
      </c>
      <c r="C43" s="132">
        <f t="shared" ref="C43:C73" si="9">D43+E43+F43+G43</f>
        <v>181519.9</v>
      </c>
      <c r="D43" s="143">
        <f>Sentralt!F89</f>
        <v>181519.9</v>
      </c>
      <c r="E43" s="134"/>
      <c r="F43" s="135"/>
      <c r="G43" s="136"/>
      <c r="H43" s="131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27" ht="14.5" x14ac:dyDescent="0.35">
      <c r="A44" s="9">
        <f>Budsjettanalyse!A49</f>
        <v>6301</v>
      </c>
      <c r="B44" s="24" t="str">
        <f>Budsjettanalyse!B49</f>
        <v>Leie lokaler</v>
      </c>
      <c r="C44" s="132">
        <f t="shared" si="9"/>
        <v>150360</v>
      </c>
      <c r="D44" s="143">
        <f>Sentralt!F94</f>
        <v>93565.880721220528</v>
      </c>
      <c r="E44" s="134">
        <f>SUM(Program!G39:G43)</f>
        <v>28350.291262135921</v>
      </c>
      <c r="F44" s="135">
        <f>Komitéer!D23</f>
        <v>28443.828016643551</v>
      </c>
      <c r="G44" s="136"/>
      <c r="H44" s="131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1:27" ht="14.5" x14ac:dyDescent="0.35">
      <c r="A45" s="9">
        <f>Budsjettanalyse!A50</f>
        <v>6430</v>
      </c>
      <c r="B45" s="24" t="str">
        <f>Budsjettanalyse!B50</f>
        <v>Leie kontormaskiner</v>
      </c>
      <c r="C45" s="132">
        <f t="shared" si="9"/>
        <v>16297.44</v>
      </c>
      <c r="D45" s="143">
        <f>Sentralt!F95</f>
        <v>16297.44</v>
      </c>
      <c r="E45" s="134"/>
      <c r="F45" s="135"/>
      <c r="G45" s="136"/>
      <c r="H45" s="131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</row>
    <row r="46" spans="1:27" ht="14.5" x14ac:dyDescent="0.35">
      <c r="A46" s="9">
        <f>Budsjettanalyse!A51</f>
        <v>6540</v>
      </c>
      <c r="B46" s="24" t="str">
        <f>Budsjettanalyse!B51</f>
        <v>Inventar</v>
      </c>
      <c r="C46" s="132">
        <f t="shared" si="9"/>
        <v>2500</v>
      </c>
      <c r="D46" s="143">
        <f>Sentralt!F99</f>
        <v>2500</v>
      </c>
      <c r="E46" s="134"/>
      <c r="F46" s="135"/>
      <c r="G46" s="136"/>
      <c r="H46" s="131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18"/>
      <c r="U46" s="118"/>
      <c r="V46" s="118"/>
      <c r="W46" s="118"/>
      <c r="X46" s="118"/>
      <c r="Y46" s="118"/>
      <c r="Z46" s="118"/>
      <c r="AA46" s="118"/>
    </row>
    <row r="47" spans="1:27" ht="14.5" x14ac:dyDescent="0.35">
      <c r="A47" s="9">
        <f>Budsjettanalyse!A52</f>
        <v>6550</v>
      </c>
      <c r="B47" s="24" t="str">
        <f>Budsjettanalyse!B52</f>
        <v>Driftsmateriale (div. arrangementer)</v>
      </c>
      <c r="C47" s="132">
        <f t="shared" si="9"/>
        <v>3145.37</v>
      </c>
      <c r="D47" s="143">
        <f>Sentralt!F102</f>
        <v>3145.37</v>
      </c>
      <c r="E47" s="134"/>
      <c r="F47" s="135"/>
      <c r="G47" s="136"/>
      <c r="H47" s="131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18"/>
      <c r="U47" s="118"/>
      <c r="V47" s="118"/>
      <c r="W47" s="118"/>
      <c r="X47" s="118"/>
      <c r="Y47" s="118"/>
      <c r="Z47" s="118"/>
      <c r="AA47" s="118"/>
    </row>
    <row r="48" spans="1:27" ht="14.5" x14ac:dyDescent="0.35">
      <c r="A48" s="9">
        <f>Budsjettanalyse!A54</f>
        <v>6560</v>
      </c>
      <c r="B48" s="24" t="str">
        <f>Budsjettanalyse!B54</f>
        <v>Rekvisita</v>
      </c>
      <c r="C48" s="132">
        <f t="shared" si="9"/>
        <v>4500</v>
      </c>
      <c r="D48" s="143">
        <f>Sentralt!F103</f>
        <v>4500</v>
      </c>
      <c r="E48" s="134"/>
      <c r="F48" s="135"/>
      <c r="G48" s="136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9"/>
      <c r="U48" s="159"/>
      <c r="V48" s="159"/>
      <c r="W48" s="159"/>
      <c r="X48" s="159"/>
      <c r="Y48" s="159"/>
      <c r="Z48" s="159"/>
      <c r="AA48" s="159"/>
    </row>
    <row r="49" spans="1:27" ht="14.5" x14ac:dyDescent="0.35">
      <c r="A49" s="9">
        <f>Budsjettanalyse!A55</f>
        <v>6701</v>
      </c>
      <c r="B49" s="24" t="str">
        <f>Budsjettanalyse!B55</f>
        <v>Revisjonshonorar</v>
      </c>
      <c r="C49" s="132">
        <f t="shared" si="9"/>
        <v>75000</v>
      </c>
      <c r="D49" s="143">
        <f>Sentralt!F106</f>
        <v>75000</v>
      </c>
      <c r="E49" s="134"/>
      <c r="F49" s="135"/>
      <c r="G49" s="136"/>
      <c r="H49" s="131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1:27" ht="14.5" x14ac:dyDescent="0.35">
      <c r="A50" s="9">
        <f>Budsjettanalyse!A56</f>
        <v>6705</v>
      </c>
      <c r="B50" s="24" t="str">
        <f>Budsjettanalyse!B56</f>
        <v>Regnskapshonorar</v>
      </c>
      <c r="C50" s="132">
        <f t="shared" si="9"/>
        <v>80000</v>
      </c>
      <c r="D50" s="143">
        <f>Sentralt!F107</f>
        <v>80000</v>
      </c>
      <c r="E50" s="134"/>
      <c r="F50" s="135"/>
      <c r="G50" s="136"/>
      <c r="H50" s="131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18"/>
      <c r="U50" s="118"/>
      <c r="V50" s="118"/>
      <c r="W50" s="118"/>
      <c r="X50" s="118"/>
      <c r="Y50" s="118"/>
      <c r="Z50" s="118"/>
      <c r="AA50" s="118"/>
    </row>
    <row r="51" spans="1:27" ht="14.5" x14ac:dyDescent="0.35">
      <c r="A51" s="9">
        <f>Budsjettanalyse!A57</f>
        <v>6720</v>
      </c>
      <c r="B51" s="24" t="str">
        <f>Budsjettanalyse!B57</f>
        <v>Honorar for økonomisk &amp; juridisk bistand</v>
      </c>
      <c r="C51" s="132">
        <f t="shared" si="9"/>
        <v>0</v>
      </c>
      <c r="D51" s="143">
        <f>Sentralt!F108</f>
        <v>0</v>
      </c>
      <c r="E51" s="134"/>
      <c r="F51" s="135"/>
      <c r="G51" s="136"/>
      <c r="H51" s="131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1:27" ht="14.5" x14ac:dyDescent="0.35">
      <c r="A52" s="9">
        <f>Budsjettanalyse!A60</f>
        <v>6801</v>
      </c>
      <c r="B52" s="24" t="str">
        <f>Budsjettanalyse!B60</f>
        <v>Data/EDB-kostnad</v>
      </c>
      <c r="C52" s="132">
        <f t="shared" si="9"/>
        <v>127317</v>
      </c>
      <c r="D52" s="143">
        <f>Sentralt!F109</f>
        <v>117317</v>
      </c>
      <c r="E52" s="134"/>
      <c r="F52" s="135">
        <f>Komitéer!H13</f>
        <v>10000</v>
      </c>
      <c r="G52" s="136"/>
      <c r="H52" s="131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1:27" ht="14.5" x14ac:dyDescent="0.35">
      <c r="A53" s="9">
        <f>Budsjettanalyse!A61</f>
        <v>6820</v>
      </c>
      <c r="B53" s="24" t="str">
        <f>Budsjettanalyse!B61</f>
        <v>Trykksaker</v>
      </c>
      <c r="C53" s="132">
        <f t="shared" si="9"/>
        <v>0</v>
      </c>
      <c r="D53" s="143">
        <f>Sentralt!F123</f>
        <v>0</v>
      </c>
      <c r="E53" s="134"/>
      <c r="F53" s="135"/>
      <c r="G53" s="136"/>
      <c r="H53" s="131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1:27" ht="14.5" x14ac:dyDescent="0.35">
      <c r="A54" s="9">
        <f>Budsjettanalyse!A62</f>
        <v>6860</v>
      </c>
      <c r="B54" s="24" t="str">
        <f>Budsjettanalyse!B62</f>
        <v>Kursavgifter</v>
      </c>
      <c r="C54" s="132">
        <f t="shared" si="9"/>
        <v>6000</v>
      </c>
      <c r="D54" s="143">
        <f>Sentralt!F124</f>
        <v>6000</v>
      </c>
      <c r="E54" s="134"/>
      <c r="F54" s="135"/>
      <c r="G54" s="136"/>
      <c r="H54" s="131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1:27" ht="14.5" x14ac:dyDescent="0.35">
      <c r="A55" s="9">
        <f>Budsjettanalyse!A63</f>
        <v>6868</v>
      </c>
      <c r="B55" s="24" t="str">
        <f>Budsjettanalyse!B63</f>
        <v>Mat/servering</v>
      </c>
      <c r="C55" s="132">
        <f t="shared" si="9"/>
        <v>252693.06829931974</v>
      </c>
      <c r="D55" s="143">
        <f>Sentralt!F127</f>
        <v>110118.58034013608</v>
      </c>
      <c r="E55" s="134">
        <f>SUM(Program!G45:G50)</f>
        <v>55428.154625850337</v>
      </c>
      <c r="F55" s="135">
        <f>Komitéer!C23</f>
        <v>87146.333333333343</v>
      </c>
      <c r="G55" s="136"/>
      <c r="H55" s="131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</row>
    <row r="56" spans="1:27" ht="14.5" x14ac:dyDescent="0.35">
      <c r="A56" s="9">
        <f>Budsjettanalyse!A64</f>
        <v>6900</v>
      </c>
      <c r="B56" s="24" t="str">
        <f>Budsjettanalyse!B64</f>
        <v>Telefon</v>
      </c>
      <c r="C56" s="132">
        <f t="shared" si="9"/>
        <v>5535</v>
      </c>
      <c r="D56" s="143">
        <f>Sentralt!F132</f>
        <v>5535</v>
      </c>
      <c r="E56" s="134"/>
      <c r="F56" s="135"/>
      <c r="G56" s="136"/>
      <c r="H56" s="131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spans="1:27" ht="14.5" x14ac:dyDescent="0.35">
      <c r="A57" s="9">
        <f>Budsjettanalyse!A65</f>
        <v>6940</v>
      </c>
      <c r="B57" s="24" t="str">
        <f>Budsjettanalyse!B65</f>
        <v>Porto</v>
      </c>
      <c r="C57" s="132">
        <f t="shared" si="9"/>
        <v>29000</v>
      </c>
      <c r="D57" s="143">
        <f>Sentralt!F135</f>
        <v>27000</v>
      </c>
      <c r="E57" s="134"/>
      <c r="F57" s="135">
        <f>Komitéer!G16</f>
        <v>2000</v>
      </c>
      <c r="G57" s="136"/>
      <c r="H57" s="131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</row>
    <row r="58" spans="1:27" ht="14.5" x14ac:dyDescent="0.35">
      <c r="A58" s="9">
        <f>Budsjettanalyse!A66</f>
        <v>6960</v>
      </c>
      <c r="B58" s="24" t="str">
        <f>Budsjettanalyse!B66</f>
        <v>Gaver</v>
      </c>
      <c r="C58" s="132">
        <f t="shared" si="9"/>
        <v>10600</v>
      </c>
      <c r="D58" s="143">
        <f>Sentralt!F139</f>
        <v>7000</v>
      </c>
      <c r="E58" s="134"/>
      <c r="F58" s="135">
        <f>Komitéer!I15</f>
        <v>3600</v>
      </c>
      <c r="G58" s="136"/>
      <c r="H58" s="131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1:27" ht="14.5" x14ac:dyDescent="0.35">
      <c r="A59" s="9">
        <f>Budsjettanalyse!A67</f>
        <v>7040</v>
      </c>
      <c r="B59" s="24" t="str">
        <f>Budsjettanalyse!B67</f>
        <v>Forsikringer</v>
      </c>
      <c r="C59" s="132">
        <f t="shared" si="9"/>
        <v>2000</v>
      </c>
      <c r="D59" s="143">
        <f>Sentralt!F140</f>
        <v>2000</v>
      </c>
      <c r="E59" s="134"/>
      <c r="F59" s="135"/>
      <c r="G59" s="136"/>
      <c r="H59" s="131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  <row r="60" spans="1:27" ht="14.5" x14ac:dyDescent="0.35">
      <c r="A60" s="80">
        <f>Budsjettanalyse!A68</f>
        <v>7105</v>
      </c>
      <c r="B60" s="80" t="str">
        <f>Budsjettanalyse!B68</f>
        <v>Øreavrunding</v>
      </c>
      <c r="C60" s="132">
        <f t="shared" si="9"/>
        <v>0</v>
      </c>
      <c r="D60" s="143"/>
      <c r="E60" s="134"/>
      <c r="F60" s="135"/>
      <c r="G60" s="136"/>
      <c r="H60" s="131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</row>
    <row r="61" spans="1:27" ht="14.5" x14ac:dyDescent="0.35">
      <c r="A61" s="9">
        <f>Budsjettanalyse!A69</f>
        <v>7140</v>
      </c>
      <c r="B61" s="24" t="str">
        <f>Budsjettanalyse!B69</f>
        <v>Reisekostnader, ikke oppgavepliktig</v>
      </c>
      <c r="C61" s="132">
        <f t="shared" si="9"/>
        <v>454950.48</v>
      </c>
      <c r="D61" s="143">
        <f>Sentralt!F141</f>
        <v>146737.98000000001</v>
      </c>
      <c r="E61" s="134">
        <f>SUM(Program!G52:G57)</f>
        <v>138912.5</v>
      </c>
      <c r="F61" s="135">
        <f>Komitéer!L11</f>
        <v>169300</v>
      </c>
      <c r="G61" s="136"/>
      <c r="H61" s="131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</row>
    <row r="62" spans="1:27" ht="14.5" x14ac:dyDescent="0.35">
      <c r="A62" s="9">
        <f>Budsjettanalyse!A70</f>
        <v>7145</v>
      </c>
      <c r="B62" s="24" t="str">
        <f>Budsjettanalyse!B70</f>
        <v>Overnatting/hotell</v>
      </c>
      <c r="C62" s="132">
        <f t="shared" si="9"/>
        <v>315082.4557823129</v>
      </c>
      <c r="D62" s="143">
        <f>Sentralt!F145</f>
        <v>191988.77551020408</v>
      </c>
      <c r="E62" s="134">
        <f>SUM(Program!G59:G61)</f>
        <v>35947.346938775518</v>
      </c>
      <c r="F62" s="135">
        <f>Komitéer!C23</f>
        <v>87146.333333333343</v>
      </c>
      <c r="G62" s="136"/>
      <c r="H62" s="131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</row>
    <row r="63" spans="1:27" ht="14.5" x14ac:dyDescent="0.35">
      <c r="A63" s="9">
        <f>Budsjettanalyse!A71</f>
        <v>7320</v>
      </c>
      <c r="B63" s="9" t="str">
        <f>Budsjettanalyse!B71</f>
        <v>Reklamekostnad</v>
      </c>
      <c r="C63" s="132">
        <f t="shared" si="9"/>
        <v>75000</v>
      </c>
      <c r="D63" s="143">
        <f>Sentralt!F149</f>
        <v>75000</v>
      </c>
      <c r="E63" s="134"/>
      <c r="F63" s="135"/>
      <c r="G63" s="136"/>
      <c r="H63" s="131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18"/>
      <c r="U63" s="118"/>
      <c r="V63" s="118"/>
      <c r="W63" s="118"/>
      <c r="X63" s="118"/>
      <c r="Y63" s="118"/>
      <c r="Z63" s="118"/>
      <c r="AA63" s="118"/>
    </row>
    <row r="64" spans="1:27" ht="14.5" x14ac:dyDescent="0.35">
      <c r="A64" s="9">
        <f>Budsjettanalyse!A72</f>
        <v>7400</v>
      </c>
      <c r="B64" s="9" t="str">
        <f>Budsjettanalyse!B72</f>
        <v xml:space="preserve">Subsidiering/kostutjevning
</v>
      </c>
      <c r="C64" s="132">
        <f t="shared" si="9"/>
        <v>275984.37903287262</v>
      </c>
      <c r="D64" s="143"/>
      <c r="E64" s="134">
        <f>Program!G63</f>
        <v>275984.37903287262</v>
      </c>
      <c r="F64" s="135"/>
      <c r="G64" s="136"/>
      <c r="H64" s="131"/>
      <c r="I64" s="160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18"/>
      <c r="U64" s="118"/>
      <c r="V64" s="118"/>
      <c r="W64" s="118"/>
      <c r="X64" s="118"/>
      <c r="Y64" s="118"/>
      <c r="Z64" s="118"/>
      <c r="AA64" s="118"/>
    </row>
    <row r="65" spans="1:27" ht="14.5" x14ac:dyDescent="0.35">
      <c r="A65" s="9">
        <f>Budsjettanalyse!A73</f>
        <v>7601</v>
      </c>
      <c r="B65" s="9" t="str">
        <f>Budsjettanalyse!B73</f>
        <v>Medlemskontingenter til andre organisasjoner</v>
      </c>
      <c r="C65" s="132">
        <f t="shared" si="9"/>
        <v>17877.410400000001</v>
      </c>
      <c r="D65" s="143">
        <f>Sentralt!F153</f>
        <v>17877.410400000001</v>
      </c>
      <c r="E65" s="134"/>
      <c r="F65" s="135"/>
      <c r="G65" s="136"/>
      <c r="H65" s="131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</row>
    <row r="66" spans="1:27" ht="14.5" x14ac:dyDescent="0.35">
      <c r="A66" s="80">
        <f>Budsjettanalyse!A74</f>
        <v>7610</v>
      </c>
      <c r="B66" s="80" t="s">
        <v>77</v>
      </c>
      <c r="C66" s="132">
        <f t="shared" si="9"/>
        <v>0</v>
      </c>
      <c r="D66" s="143"/>
      <c r="E66" s="134"/>
      <c r="F66" s="135"/>
      <c r="G66" s="161">
        <f>(Prosjekter!F13-Prosjekter!F9-Prosjekter!F8-Prosjekter!F6)</f>
        <v>0</v>
      </c>
      <c r="H66" s="131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:27" ht="14.5" x14ac:dyDescent="0.35">
      <c r="A67" s="9">
        <f>Budsjettanalyse!A76</f>
        <v>7620</v>
      </c>
      <c r="B67" s="24" t="str">
        <f>Budsjettanalyse!B76</f>
        <v>Diverse utgifter</v>
      </c>
      <c r="C67" s="132">
        <f t="shared" si="9"/>
        <v>0</v>
      </c>
      <c r="D67" s="143"/>
      <c r="E67" s="134"/>
      <c r="F67" s="135"/>
      <c r="G67" s="136"/>
      <c r="H67" s="131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</row>
    <row r="68" spans="1:27" ht="14.5" x14ac:dyDescent="0.35">
      <c r="A68" s="9">
        <f>Budsjettanalyse!A77</f>
        <v>7630</v>
      </c>
      <c r="B68" s="24" t="str">
        <f>Budsjettanalyse!B77</f>
        <v>Utbetaling stipend</v>
      </c>
      <c r="C68" s="132">
        <f t="shared" si="9"/>
        <v>10000</v>
      </c>
      <c r="D68" s="143">
        <f>Sentralt!F159</f>
        <v>10000</v>
      </c>
      <c r="E68" s="134"/>
      <c r="F68" s="135"/>
      <c r="G68" s="136"/>
      <c r="H68" s="131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18"/>
      <c r="U68" s="118"/>
      <c r="V68" s="118"/>
      <c r="W68" s="118"/>
      <c r="X68" s="118"/>
      <c r="Y68" s="118"/>
      <c r="Z68" s="118"/>
      <c r="AA68" s="118"/>
    </row>
    <row r="69" spans="1:27" ht="14.5" x14ac:dyDescent="0.35">
      <c r="A69" s="9">
        <f>Budsjettanalyse!A78</f>
        <v>7650</v>
      </c>
      <c r="B69" s="24" t="str">
        <f>Budsjettanalyse!B78</f>
        <v>Forbruk varer</v>
      </c>
      <c r="C69" s="132">
        <f t="shared" si="9"/>
        <v>0</v>
      </c>
      <c r="D69" s="143"/>
      <c r="E69" s="134"/>
      <c r="F69" s="135"/>
      <c r="G69" s="136"/>
      <c r="H69" s="131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:27" ht="14.5" x14ac:dyDescent="0.35">
      <c r="A70" s="9">
        <f>Budsjettanalyse!A79</f>
        <v>7770</v>
      </c>
      <c r="B70" s="24" t="str">
        <f>Budsjettanalyse!B79</f>
        <v>Bank og kortgebyrer</v>
      </c>
      <c r="C70" s="132">
        <f t="shared" si="9"/>
        <v>11790</v>
      </c>
      <c r="D70" s="143">
        <f>Sentralt!F160</f>
        <v>11790</v>
      </c>
      <c r="E70" s="134"/>
      <c r="F70" s="135"/>
      <c r="G70" s="136"/>
      <c r="H70" s="131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</row>
    <row r="71" spans="1:27" ht="14.5" x14ac:dyDescent="0.35">
      <c r="A71" s="9">
        <f>Budsjettanalyse!A80</f>
        <v>7801</v>
      </c>
      <c r="B71" s="24" t="str">
        <f>Budsjettanalyse!B80</f>
        <v>Tapsføring eiendeler</v>
      </c>
      <c r="C71" s="132">
        <f t="shared" si="9"/>
        <v>0</v>
      </c>
      <c r="D71" s="143"/>
      <c r="E71" s="134"/>
      <c r="F71" s="135"/>
      <c r="G71" s="136"/>
      <c r="H71" s="131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</row>
    <row r="72" spans="1:27" ht="14.5" x14ac:dyDescent="0.35">
      <c r="A72" s="80">
        <f>Budsjettanalyse!A81</f>
        <v>7830</v>
      </c>
      <c r="B72" s="80" t="str">
        <f>Budsjettanalyse!B81</f>
        <v>Tap på fordringer</v>
      </c>
      <c r="C72" s="132">
        <f t="shared" si="9"/>
        <v>0</v>
      </c>
      <c r="D72" s="143"/>
      <c r="E72" s="134"/>
      <c r="F72" s="135"/>
      <c r="G72" s="136"/>
      <c r="H72" s="131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</row>
    <row r="73" spans="1:27" ht="14.5" x14ac:dyDescent="0.35">
      <c r="A73" s="9">
        <f>Budsjettanalyse!A82</f>
        <v>7970</v>
      </c>
      <c r="B73" s="24" t="str">
        <f>Budsjettanalyse!B82</f>
        <v>Gaver som gir fradrag (utbetaling til lagene)</v>
      </c>
      <c r="C73" s="132">
        <f t="shared" si="9"/>
        <v>2000</v>
      </c>
      <c r="D73" s="143">
        <f>Sentralt!F164</f>
        <v>2000</v>
      </c>
      <c r="E73" s="134"/>
      <c r="F73" s="135"/>
      <c r="G73" s="136"/>
      <c r="H73" s="131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18"/>
      <c r="U73" s="118"/>
      <c r="V73" s="118"/>
      <c r="W73" s="118"/>
      <c r="X73" s="118"/>
      <c r="Y73" s="118"/>
      <c r="Z73" s="118"/>
      <c r="AA73" s="118"/>
    </row>
    <row r="74" spans="1:27" ht="14.5" x14ac:dyDescent="0.35">
      <c r="A74" s="38"/>
      <c r="B74" s="11" t="s">
        <v>86</v>
      </c>
      <c r="C74" s="146">
        <f t="shared" ref="C74:E74" si="10">SUM(C43:C73)</f>
        <v>2109152.503514505</v>
      </c>
      <c r="D74" s="147">
        <f t="shared" si="10"/>
        <v>1186893.3369715605</v>
      </c>
      <c r="E74" s="140">
        <f t="shared" si="10"/>
        <v>534622.67185963434</v>
      </c>
      <c r="F74" s="140">
        <f t="shared" ref="F74:G74" si="11">SUM(F43:F72)</f>
        <v>387636.49468331027</v>
      </c>
      <c r="G74" s="148">
        <f t="shared" si="11"/>
        <v>0</v>
      </c>
      <c r="H74" s="131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</row>
    <row r="75" spans="1:27" ht="14.5" x14ac:dyDescent="0.35">
      <c r="A75" s="38"/>
      <c r="B75" s="162"/>
      <c r="C75" s="163"/>
      <c r="D75" s="164"/>
      <c r="E75" s="165"/>
      <c r="F75" s="165"/>
      <c r="G75" s="163"/>
      <c r="H75" s="131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18"/>
      <c r="U75" s="118"/>
      <c r="V75" s="118"/>
      <c r="W75" s="118"/>
      <c r="X75" s="118"/>
      <c r="Y75" s="118"/>
      <c r="Z75" s="118"/>
      <c r="AA75" s="118"/>
    </row>
    <row r="76" spans="1:27" ht="14.5" x14ac:dyDescent="0.35">
      <c r="A76" s="11"/>
      <c r="B76" s="145" t="s">
        <v>114</v>
      </c>
      <c r="C76" s="146">
        <f t="shared" ref="C76:G76" si="12">C33+C41+C74</f>
        <v>5700537.8515580762</v>
      </c>
      <c r="D76" s="147">
        <f t="shared" si="12"/>
        <v>3455193.0025865603</v>
      </c>
      <c r="E76" s="140">
        <f t="shared" si="12"/>
        <v>1833708.3542882055</v>
      </c>
      <c r="F76" s="140">
        <f t="shared" si="12"/>
        <v>411636.49468331027</v>
      </c>
      <c r="G76" s="148">
        <f t="shared" si="12"/>
        <v>0</v>
      </c>
      <c r="H76" s="131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18"/>
      <c r="U76" s="118"/>
      <c r="V76" s="118"/>
      <c r="W76" s="118"/>
      <c r="X76" s="118"/>
      <c r="Y76" s="118"/>
      <c r="Z76" s="118"/>
      <c r="AA76" s="118"/>
    </row>
    <row r="77" spans="1:27" ht="14.5" x14ac:dyDescent="0.35">
      <c r="A77" s="166"/>
      <c r="B77" s="167"/>
      <c r="C77" s="163"/>
      <c r="D77" s="164"/>
      <c r="E77" s="165"/>
      <c r="F77" s="165"/>
      <c r="G77" s="165"/>
      <c r="H77" s="131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18"/>
      <c r="U77" s="118"/>
      <c r="V77" s="118"/>
      <c r="W77" s="118"/>
      <c r="X77" s="118"/>
      <c r="Y77" s="118"/>
      <c r="Z77" s="118"/>
      <c r="AA77" s="118"/>
    </row>
    <row r="78" spans="1:27" ht="21" x14ac:dyDescent="0.35">
      <c r="A78" s="150"/>
      <c r="B78" s="151" t="s">
        <v>88</v>
      </c>
      <c r="C78" s="154">
        <f t="shared" ref="C78:G78" si="13">C23-C76</f>
        <v>108579.32681565918</v>
      </c>
      <c r="D78" s="168">
        <f t="shared" si="13"/>
        <v>338989.79675430246</v>
      </c>
      <c r="E78" s="169">
        <f t="shared" si="13"/>
        <v>181226.02474466688</v>
      </c>
      <c r="F78" s="169">
        <f t="shared" si="13"/>
        <v>-411636.49468331027</v>
      </c>
      <c r="G78" s="169">
        <f t="shared" si="13"/>
        <v>0</v>
      </c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</row>
    <row r="79" spans="1:27" ht="14.5" x14ac:dyDescent="0.35">
      <c r="A79" s="9"/>
      <c r="B79" s="126"/>
      <c r="C79" s="149"/>
      <c r="D79" s="149"/>
      <c r="E79" s="149"/>
      <c r="F79" s="149"/>
      <c r="G79" s="149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</row>
    <row r="80" spans="1:27" ht="21" x14ac:dyDescent="0.35">
      <c r="A80" s="150"/>
      <c r="B80" s="151" t="s">
        <v>115</v>
      </c>
      <c r="C80" s="152"/>
      <c r="D80" s="129"/>
      <c r="E80" s="119"/>
      <c r="F80" s="119"/>
      <c r="G80" s="130"/>
      <c r="H80" s="131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18"/>
      <c r="U80" s="118"/>
      <c r="V80" s="118"/>
      <c r="W80" s="118"/>
      <c r="X80" s="118"/>
      <c r="Y80" s="118"/>
      <c r="Z80" s="118"/>
      <c r="AA80" s="118"/>
    </row>
    <row r="81" spans="1:27" ht="14.5" x14ac:dyDescent="0.35">
      <c r="A81" s="103">
        <f>Budsjettanalyse!A88</f>
        <v>8040</v>
      </c>
      <c r="B81" s="103" t="str">
        <f>Budsjettanalyse!B88</f>
        <v>Renteinntekter, skattefrie</v>
      </c>
      <c r="C81" s="170">
        <f>FinansFond!C1</f>
        <v>20000</v>
      </c>
      <c r="D81" s="149"/>
      <c r="E81" s="149"/>
      <c r="F81" s="149"/>
      <c r="G81" s="149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</row>
    <row r="82" spans="1:27" ht="14.5" x14ac:dyDescent="0.35">
      <c r="A82" s="103">
        <f>Budsjettanalyse!A89</f>
        <v>8050</v>
      </c>
      <c r="B82" s="103" t="str">
        <f>Budsjettanalyse!B89</f>
        <v>Annen renteinntekt</v>
      </c>
      <c r="C82" s="132"/>
      <c r="D82" s="149"/>
      <c r="E82" s="149"/>
      <c r="F82" s="149"/>
      <c r="G82" s="149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18"/>
      <c r="U82" s="118"/>
      <c r="V82" s="118"/>
      <c r="W82" s="118"/>
      <c r="X82" s="118"/>
      <c r="Y82" s="118"/>
      <c r="Z82" s="118"/>
      <c r="AA82" s="118"/>
    </row>
    <row r="83" spans="1:27" ht="14.5" x14ac:dyDescent="0.35">
      <c r="A83" s="103"/>
      <c r="B83" s="11" t="str">
        <f>Budsjettanalyse!B91</f>
        <v>Finansinntekter</v>
      </c>
      <c r="C83" s="146">
        <f>SUM(C81:C82)</f>
        <v>20000</v>
      </c>
      <c r="D83" s="149"/>
      <c r="E83" s="149"/>
      <c r="F83" s="149"/>
      <c r="G83" s="149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</row>
    <row r="84" spans="1:27" ht="14.5" x14ac:dyDescent="0.35">
      <c r="A84" s="103"/>
      <c r="B84" s="103">
        <f>Budsjettanalyse!B92</f>
        <v>0</v>
      </c>
      <c r="C84" s="132">
        <f>D84+E84+F84+G84</f>
        <v>0</v>
      </c>
      <c r="D84" s="149"/>
      <c r="E84" s="149"/>
      <c r="F84" s="149"/>
      <c r="G84" s="149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</row>
    <row r="85" spans="1:27" ht="14.5" x14ac:dyDescent="0.35">
      <c r="A85" s="103">
        <f>Budsjettanalyse!A93</f>
        <v>8091</v>
      </c>
      <c r="B85" s="103" t="str">
        <f>Budsjettanalyse!B93</f>
        <v>Verdiendring DNB-Invest Likviditetsfond</v>
      </c>
      <c r="C85" s="132"/>
      <c r="D85" s="149"/>
      <c r="E85" s="149"/>
      <c r="F85" s="149"/>
      <c r="G85" s="149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18"/>
      <c r="U85" s="118"/>
      <c r="V85" s="118"/>
      <c r="W85" s="118"/>
      <c r="X85" s="118"/>
      <c r="Y85" s="118"/>
      <c r="Z85" s="118"/>
      <c r="AA85" s="118"/>
    </row>
    <row r="86" spans="1:27" ht="14.5" x14ac:dyDescent="0.35">
      <c r="A86" s="103">
        <f>Budsjettanalyse!A94</f>
        <v>8110</v>
      </c>
      <c r="B86" s="103" t="str">
        <f>Budsjettanalyse!B94</f>
        <v>Nedskrivning av finansielle omløpsmidler</v>
      </c>
      <c r="C86" s="132"/>
      <c r="D86" s="149"/>
      <c r="E86" s="149"/>
      <c r="F86" s="149"/>
      <c r="G86" s="149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18"/>
      <c r="U86" s="118"/>
      <c r="V86" s="118"/>
      <c r="W86" s="118"/>
      <c r="X86" s="118"/>
      <c r="Y86" s="118"/>
      <c r="Z86" s="118"/>
      <c r="AA86" s="118"/>
    </row>
    <row r="87" spans="1:27" ht="21" x14ac:dyDescent="0.5">
      <c r="A87" s="103">
        <f>Budsjettanalyse!A95</f>
        <v>8140</v>
      </c>
      <c r="B87" s="103" t="str">
        <f>Budsjettanalyse!B95</f>
        <v>Rentekostnader, ikke fradragsberettigede</v>
      </c>
      <c r="C87" s="132"/>
      <c r="D87" s="149"/>
      <c r="E87" s="149"/>
      <c r="F87" s="149"/>
      <c r="G87" s="149"/>
      <c r="H87" s="171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18"/>
      <c r="U87" s="118"/>
      <c r="V87" s="118"/>
      <c r="W87" s="118"/>
      <c r="X87" s="118"/>
      <c r="Y87" s="118"/>
      <c r="Z87" s="118"/>
      <c r="AA87" s="118"/>
    </row>
    <row r="88" spans="1:27" ht="14.5" x14ac:dyDescent="0.35">
      <c r="A88" s="103">
        <f>Budsjettanalyse!A96</f>
        <v>8179</v>
      </c>
      <c r="B88" s="103" t="str">
        <f>Budsjettanalyse!B96</f>
        <v>Andre finanskostnader</v>
      </c>
      <c r="C88" s="132"/>
      <c r="D88" s="149"/>
      <c r="E88" s="149"/>
      <c r="F88" s="149"/>
      <c r="G88" s="149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18"/>
      <c r="U88" s="118"/>
      <c r="V88" s="118"/>
      <c r="W88" s="118"/>
      <c r="X88" s="118"/>
      <c r="Y88" s="118"/>
      <c r="Z88" s="118"/>
      <c r="AA88" s="118"/>
    </row>
    <row r="89" spans="1:27" ht="14.5" x14ac:dyDescent="0.35">
      <c r="A89" s="103"/>
      <c r="B89" s="11" t="str">
        <f>Budsjettanalyse!B97</f>
        <v>Finanskostnader</v>
      </c>
      <c r="C89" s="146"/>
      <c r="D89" s="149"/>
      <c r="E89" s="149"/>
      <c r="F89" s="149"/>
      <c r="G89" s="149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18"/>
      <c r="U89" s="118"/>
      <c r="V89" s="118"/>
      <c r="W89" s="118"/>
      <c r="X89" s="118"/>
      <c r="Y89" s="118"/>
      <c r="Z89" s="118"/>
      <c r="AA89" s="118"/>
    </row>
    <row r="90" spans="1:27" ht="14.5" x14ac:dyDescent="0.35">
      <c r="A90" s="103"/>
      <c r="B90" s="162"/>
      <c r="C90" s="163"/>
      <c r="D90" s="149"/>
      <c r="E90" s="149"/>
      <c r="F90" s="149"/>
      <c r="G90" s="149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18"/>
      <c r="U90" s="118"/>
      <c r="V90" s="118"/>
      <c r="W90" s="118"/>
      <c r="X90" s="118"/>
      <c r="Y90" s="118"/>
      <c r="Z90" s="118"/>
      <c r="AA90" s="118"/>
    </row>
    <row r="91" spans="1:27" ht="14.5" x14ac:dyDescent="0.35">
      <c r="A91" s="11"/>
      <c r="B91" s="145" t="s">
        <v>116</v>
      </c>
      <c r="C91" s="146">
        <f>C83-C89</f>
        <v>20000</v>
      </c>
      <c r="D91" s="149"/>
      <c r="E91" s="149"/>
      <c r="F91" s="149"/>
      <c r="G91" s="149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</row>
    <row r="92" spans="1:27" ht="14.5" x14ac:dyDescent="0.35">
      <c r="A92" s="166"/>
      <c r="B92" s="167"/>
      <c r="C92" s="163"/>
      <c r="D92" s="149"/>
      <c r="E92" s="149"/>
      <c r="F92" s="149"/>
      <c r="G92" s="149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18"/>
      <c r="U92" s="118"/>
      <c r="V92" s="118"/>
      <c r="W92" s="118"/>
      <c r="X92" s="118"/>
      <c r="Y92" s="118"/>
      <c r="Z92" s="118"/>
      <c r="AA92" s="118"/>
    </row>
    <row r="93" spans="1:27" ht="21" x14ac:dyDescent="0.35">
      <c r="A93" s="150"/>
      <c r="B93" s="153" t="s">
        <v>117</v>
      </c>
      <c r="C93" s="154">
        <f>C78+C91</f>
        <v>128579.32681565918</v>
      </c>
      <c r="D93" s="149"/>
      <c r="E93" s="149"/>
      <c r="F93" s="149"/>
      <c r="G93" s="149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</row>
    <row r="94" spans="1:27" ht="14.5" x14ac:dyDescent="0.35">
      <c r="A94" s="103">
        <f>FinansFond!A4</f>
        <v>2025</v>
      </c>
      <c r="B94" s="103" t="str">
        <f>FinansFond!B4</f>
        <v>Avbestillingsforsikring</v>
      </c>
      <c r="C94" s="132">
        <f>-FinansFond!F4</f>
        <v>-11400</v>
      </c>
      <c r="D94" s="149"/>
      <c r="E94" s="155">
        <f>Program!G64</f>
        <v>11400</v>
      </c>
      <c r="F94" s="149"/>
      <c r="G94" s="149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</row>
    <row r="95" spans="1:27" ht="14.5" x14ac:dyDescent="0.35">
      <c r="A95" s="103">
        <f>FinansFond!A5</f>
        <v>2028</v>
      </c>
      <c r="B95" s="103" t="str">
        <f>FinansFond!B5</f>
        <v>Delegasjonsfondet</v>
      </c>
      <c r="C95" s="132">
        <f>-FinansFond!F5</f>
        <v>-169826.02474466694</v>
      </c>
      <c r="D95" s="172"/>
      <c r="E95" s="149"/>
      <c r="F95" s="149"/>
      <c r="G95" s="149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</row>
    <row r="96" spans="1:27" ht="14.5" x14ac:dyDescent="0.35">
      <c r="A96" s="103">
        <f>FinansFond!A6</f>
        <v>2029</v>
      </c>
      <c r="B96" s="103" t="str">
        <f>FinansFond!B6</f>
        <v>Østeuropafondet</v>
      </c>
      <c r="C96" s="132">
        <f>-FinansFond!F6</f>
        <v>0</v>
      </c>
      <c r="D96" s="149"/>
      <c r="E96" s="149"/>
      <c r="F96" s="149"/>
      <c r="G96" s="149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</row>
    <row r="97" spans="1:27" ht="14.5" x14ac:dyDescent="0.35">
      <c r="A97" s="103">
        <f>FinansFond!A7</f>
        <v>2040</v>
      </c>
      <c r="B97" s="103" t="str">
        <f>FinansFond!B7</f>
        <v>Reservefond</v>
      </c>
      <c r="C97" s="132">
        <f>-FinansFond!F7</f>
        <v>0</v>
      </c>
      <c r="D97" s="149"/>
      <c r="E97" s="149"/>
      <c r="F97" s="149"/>
      <c r="G97" s="149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</row>
    <row r="98" spans="1:27" ht="14.5" x14ac:dyDescent="0.35">
      <c r="A98" s="103">
        <f>FinansFond!A8</f>
        <v>2041</v>
      </c>
      <c r="B98" s="103" t="str">
        <f>FinansFond!B8</f>
        <v>STAI-fondet</v>
      </c>
      <c r="C98" s="132">
        <f>-FinansFond!F8</f>
        <v>-5000</v>
      </c>
      <c r="D98" s="149"/>
      <c r="E98" s="149"/>
      <c r="F98" s="149"/>
      <c r="G98" s="149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18"/>
      <c r="U98" s="118"/>
      <c r="V98" s="118"/>
      <c r="W98" s="118"/>
      <c r="X98" s="118"/>
      <c r="Y98" s="118"/>
      <c r="Z98" s="118"/>
      <c r="AA98" s="118"/>
    </row>
    <row r="99" spans="1:27" ht="14.5" x14ac:dyDescent="0.35">
      <c r="A99" s="103">
        <f>FinansFond!A9</f>
        <v>2060</v>
      </c>
      <c r="B99" s="103" t="str">
        <f>FinansFond!B9</f>
        <v>Stipendfond</v>
      </c>
      <c r="C99" s="132">
        <f>-FinansFond!F9</f>
        <v>10000</v>
      </c>
      <c r="D99" s="149"/>
      <c r="E99" s="149"/>
      <c r="F99" s="149"/>
      <c r="G99" s="149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18"/>
      <c r="U99" s="118"/>
      <c r="V99" s="118"/>
      <c r="W99" s="118"/>
      <c r="X99" s="118"/>
      <c r="Y99" s="118"/>
      <c r="Z99" s="118"/>
      <c r="AA99" s="118"/>
    </row>
    <row r="100" spans="1:27" ht="14.5" x14ac:dyDescent="0.35">
      <c r="A100" s="103"/>
      <c r="B100" s="121" t="s">
        <v>118</v>
      </c>
      <c r="C100" s="146">
        <f>SUM(C94:C99)</f>
        <v>-176226.02474466694</v>
      </c>
      <c r="D100" s="149"/>
      <c r="E100" s="149"/>
      <c r="F100" s="149"/>
      <c r="G100" s="149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</row>
    <row r="101" spans="1:27" ht="21" x14ac:dyDescent="0.35">
      <c r="A101" s="173">
        <v>8980</v>
      </c>
      <c r="B101" s="152" t="s">
        <v>102</v>
      </c>
      <c r="C101" s="152">
        <f>C93+C100</f>
        <v>-47646.697929007758</v>
      </c>
      <c r="D101" s="149"/>
      <c r="E101" s="149"/>
      <c r="F101" s="149"/>
      <c r="G101" s="149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</row>
    <row r="102" spans="1:27" ht="14.5" x14ac:dyDescent="0.35">
      <c r="A102" s="9"/>
      <c r="B102" s="126"/>
      <c r="C102" s="149"/>
      <c r="D102" s="149"/>
      <c r="E102" s="149"/>
      <c r="F102" s="149"/>
      <c r="G102" s="149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</row>
    <row r="103" spans="1:27" ht="14.5" x14ac:dyDescent="0.35">
      <c r="A103" s="9">
        <v>8980</v>
      </c>
      <c r="B103" s="126" t="s">
        <v>119</v>
      </c>
      <c r="C103" s="149">
        <v>3089058.77</v>
      </c>
      <c r="D103" s="149"/>
      <c r="E103" s="149"/>
      <c r="F103" s="149"/>
      <c r="G103" s="149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</row>
    <row r="104" spans="1:27" ht="14.5" x14ac:dyDescent="0.35">
      <c r="A104" s="9">
        <v>8980</v>
      </c>
      <c r="B104" s="126" t="s">
        <v>120</v>
      </c>
      <c r="C104" s="149">
        <f>C103+C101</f>
        <v>3041412.0720709921</v>
      </c>
      <c r="D104" s="149"/>
      <c r="E104" s="149"/>
      <c r="F104" s="149"/>
      <c r="G104" s="149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</row>
    <row r="105" spans="1:27" ht="14.5" x14ac:dyDescent="0.35">
      <c r="A105" s="9"/>
      <c r="B105" s="126"/>
      <c r="C105" s="149"/>
      <c r="D105" s="149"/>
      <c r="E105" s="149"/>
      <c r="F105" s="149"/>
      <c r="G105" s="149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</row>
    <row r="106" spans="1:27" ht="14.5" x14ac:dyDescent="0.35">
      <c r="A106" s="9"/>
      <c r="B106" s="126"/>
      <c r="C106" s="149"/>
      <c r="D106" s="149"/>
      <c r="E106" s="149"/>
      <c r="F106" s="149"/>
      <c r="G106" s="149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27" ht="14.5" x14ac:dyDescent="0.35">
      <c r="A107" s="9"/>
      <c r="B107" s="126"/>
      <c r="C107" s="149"/>
      <c r="D107" s="149"/>
      <c r="E107" s="149"/>
      <c r="F107" s="149"/>
      <c r="G107" s="149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</row>
    <row r="108" spans="1:27" ht="14.5" x14ac:dyDescent="0.35">
      <c r="A108" s="9"/>
      <c r="B108" s="126"/>
      <c r="C108" s="149"/>
      <c r="D108" s="149"/>
      <c r="E108" s="149"/>
      <c r="F108" s="149"/>
      <c r="G108" s="149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27" ht="14.5" x14ac:dyDescent="0.35">
      <c r="A109" s="9"/>
      <c r="B109" s="126"/>
      <c r="C109" s="149"/>
      <c r="D109" s="149"/>
      <c r="E109" s="149"/>
      <c r="F109" s="149"/>
      <c r="G109" s="149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</row>
    <row r="110" spans="1:27" ht="14.5" x14ac:dyDescent="0.35">
      <c r="A110" s="9"/>
      <c r="B110" s="126"/>
      <c r="C110" s="149"/>
      <c r="D110" s="149"/>
      <c r="E110" s="149"/>
      <c r="F110" s="149"/>
      <c r="G110" s="149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</row>
    <row r="111" spans="1:27" ht="14.5" x14ac:dyDescent="0.35">
      <c r="A111" s="9"/>
      <c r="B111" s="126"/>
      <c r="C111" s="149"/>
      <c r="D111" s="149"/>
      <c r="E111" s="149"/>
      <c r="F111" s="149"/>
      <c r="G111" s="149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1:27" ht="14.5" x14ac:dyDescent="0.35">
      <c r="A112" s="9"/>
      <c r="B112" s="126"/>
      <c r="C112" s="149"/>
      <c r="D112" s="149"/>
      <c r="E112" s="149"/>
      <c r="F112" s="149"/>
      <c r="G112" s="149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1:19" ht="14.5" x14ac:dyDescent="0.35">
      <c r="A113" s="9"/>
      <c r="B113" s="126"/>
      <c r="C113" s="149"/>
      <c r="D113" s="149"/>
      <c r="E113" s="149"/>
      <c r="F113" s="149"/>
      <c r="G113" s="149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</row>
    <row r="114" spans="1:19" ht="14.5" x14ac:dyDescent="0.35">
      <c r="A114" s="9"/>
      <c r="B114" s="126"/>
      <c r="C114" s="149"/>
      <c r="D114" s="149"/>
      <c r="E114" s="149"/>
      <c r="F114" s="149"/>
      <c r="G114" s="149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1:19" ht="14.5" x14ac:dyDescent="0.35">
      <c r="A115" s="9"/>
      <c r="B115" s="126"/>
      <c r="C115" s="149"/>
      <c r="D115" s="149"/>
      <c r="E115" s="149"/>
      <c r="F115" s="149"/>
      <c r="G115" s="149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</row>
    <row r="116" spans="1:19" ht="14.5" x14ac:dyDescent="0.35">
      <c r="A116" s="9"/>
      <c r="B116" s="126"/>
      <c r="C116" s="149"/>
      <c r="D116" s="149"/>
      <c r="E116" s="149"/>
      <c r="F116" s="149"/>
      <c r="G116" s="149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1:19" ht="14.5" x14ac:dyDescent="0.35">
      <c r="A117" s="9"/>
      <c r="B117" s="126"/>
      <c r="C117" s="149"/>
      <c r="D117" s="149"/>
      <c r="E117" s="149"/>
      <c r="F117" s="149"/>
      <c r="G117" s="149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</row>
    <row r="118" spans="1:19" ht="14.5" x14ac:dyDescent="0.35">
      <c r="A118" s="9"/>
      <c r="B118" s="126"/>
      <c r="C118" s="149"/>
      <c r="D118" s="149"/>
      <c r="E118" s="149"/>
      <c r="F118" s="149"/>
      <c r="G118" s="149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1:19" ht="14.5" x14ac:dyDescent="0.35">
      <c r="A119" s="9"/>
      <c r="B119" s="126"/>
      <c r="C119" s="149"/>
      <c r="D119" s="149"/>
      <c r="E119" s="149"/>
      <c r="F119" s="149"/>
      <c r="G119" s="149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</row>
    <row r="120" spans="1:19" ht="14.5" x14ac:dyDescent="0.35">
      <c r="A120" s="9"/>
      <c r="B120" s="126"/>
      <c r="C120" s="149"/>
      <c r="D120" s="149"/>
      <c r="E120" s="149"/>
      <c r="F120" s="149"/>
      <c r="G120" s="149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1:19" ht="14.5" x14ac:dyDescent="0.35">
      <c r="A121" s="9"/>
      <c r="B121" s="126"/>
      <c r="C121" s="149"/>
      <c r="D121" s="149"/>
      <c r="E121" s="149"/>
      <c r="F121" s="149"/>
      <c r="G121" s="149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</row>
    <row r="122" spans="1:19" ht="14.5" x14ac:dyDescent="0.35">
      <c r="A122" s="9"/>
      <c r="B122" s="126"/>
      <c r="C122" s="149"/>
      <c r="D122" s="149"/>
      <c r="E122" s="149"/>
      <c r="F122" s="149"/>
      <c r="G122" s="149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1:19" ht="14.5" x14ac:dyDescent="0.35">
      <c r="A123" s="9"/>
      <c r="B123" s="126"/>
      <c r="C123" s="149"/>
      <c r="D123" s="149"/>
      <c r="E123" s="149"/>
      <c r="F123" s="149"/>
      <c r="G123" s="149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</row>
    <row r="124" spans="1:19" ht="14.5" x14ac:dyDescent="0.35">
      <c r="A124" s="9"/>
      <c r="B124" s="126"/>
      <c r="C124" s="149"/>
      <c r="D124" s="149"/>
      <c r="E124" s="149"/>
      <c r="F124" s="149"/>
      <c r="G124" s="149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1:19" ht="14.5" x14ac:dyDescent="0.35">
      <c r="A125" s="9"/>
      <c r="B125" s="126"/>
      <c r="C125" s="149"/>
      <c r="D125" s="149"/>
      <c r="E125" s="149"/>
      <c r="F125" s="149"/>
      <c r="G125" s="149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</row>
    <row r="126" spans="1:19" ht="14.5" x14ac:dyDescent="0.35">
      <c r="A126" s="9"/>
      <c r="B126" s="126"/>
      <c r="C126" s="149"/>
      <c r="D126" s="149"/>
      <c r="E126" s="149"/>
      <c r="F126" s="149"/>
      <c r="G126" s="149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1:19" ht="14.5" x14ac:dyDescent="0.35">
      <c r="A127" s="9"/>
      <c r="B127" s="126"/>
      <c r="C127" s="149"/>
      <c r="D127" s="149"/>
      <c r="E127" s="149"/>
      <c r="F127" s="149"/>
      <c r="G127" s="149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</row>
    <row r="128" spans="1:19" ht="14.5" x14ac:dyDescent="0.35">
      <c r="A128" s="9"/>
      <c r="B128" s="126"/>
      <c r="C128" s="149"/>
      <c r="D128" s="149"/>
      <c r="E128" s="149"/>
      <c r="F128" s="149"/>
      <c r="G128" s="149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1:19" ht="14.5" x14ac:dyDescent="0.35">
      <c r="A129" s="9"/>
      <c r="B129" s="126"/>
      <c r="C129" s="149"/>
      <c r="D129" s="149"/>
      <c r="E129" s="149"/>
      <c r="F129" s="149"/>
      <c r="G129" s="149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</row>
    <row r="130" spans="1:19" ht="14.5" x14ac:dyDescent="0.35">
      <c r="A130" s="9"/>
      <c r="B130" s="126"/>
      <c r="C130" s="149"/>
      <c r="D130" s="149"/>
      <c r="E130" s="149"/>
      <c r="F130" s="149"/>
      <c r="G130" s="149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1:19" ht="14.5" x14ac:dyDescent="0.35">
      <c r="A131" s="9"/>
      <c r="B131" s="126"/>
      <c r="C131" s="149"/>
      <c r="D131" s="149"/>
      <c r="E131" s="149"/>
      <c r="F131" s="149"/>
      <c r="G131" s="149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</row>
    <row r="132" spans="1:19" ht="14.5" x14ac:dyDescent="0.35">
      <c r="A132" s="9"/>
      <c r="B132" s="126"/>
      <c r="C132" s="149"/>
      <c r="D132" s="149"/>
      <c r="E132" s="149"/>
      <c r="F132" s="149"/>
      <c r="G132" s="149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1:19" ht="14.5" x14ac:dyDescent="0.35">
      <c r="A133" s="9"/>
      <c r="B133" s="126"/>
      <c r="C133" s="149"/>
      <c r="D133" s="149"/>
      <c r="E133" s="149"/>
      <c r="F133" s="149"/>
      <c r="G133" s="149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</row>
    <row r="134" spans="1:19" ht="14.5" x14ac:dyDescent="0.35">
      <c r="A134" s="9"/>
      <c r="B134" s="126"/>
      <c r="C134" s="149"/>
      <c r="D134" s="149"/>
      <c r="E134" s="149"/>
      <c r="F134" s="149"/>
      <c r="G134" s="149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1:19" ht="14.5" x14ac:dyDescent="0.35">
      <c r="A135" s="9"/>
      <c r="B135" s="126"/>
      <c r="C135" s="149"/>
      <c r="D135" s="149"/>
      <c r="E135" s="149"/>
      <c r="F135" s="149"/>
      <c r="G135" s="149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</row>
    <row r="136" spans="1:19" ht="14.5" x14ac:dyDescent="0.35">
      <c r="A136" s="9"/>
      <c r="B136" s="126"/>
      <c r="C136" s="149"/>
      <c r="D136" s="149"/>
      <c r="E136" s="149"/>
      <c r="F136" s="149"/>
      <c r="G136" s="149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1:19" ht="14.5" x14ac:dyDescent="0.35">
      <c r="A137" s="9"/>
      <c r="B137" s="126"/>
      <c r="C137" s="149"/>
      <c r="D137" s="149"/>
      <c r="E137" s="149"/>
      <c r="F137" s="149"/>
      <c r="G137" s="149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</row>
    <row r="138" spans="1:19" ht="14.5" x14ac:dyDescent="0.35">
      <c r="A138" s="9"/>
      <c r="B138" s="126"/>
      <c r="C138" s="149"/>
      <c r="D138" s="149"/>
      <c r="E138" s="149"/>
      <c r="F138" s="149"/>
      <c r="G138" s="149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1:19" ht="14.5" x14ac:dyDescent="0.35">
      <c r="A139" s="9"/>
      <c r="B139" s="126"/>
      <c r="C139" s="149"/>
      <c r="D139" s="149"/>
      <c r="E139" s="149"/>
      <c r="F139" s="149"/>
      <c r="G139" s="149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</row>
    <row r="140" spans="1:19" ht="14.5" x14ac:dyDescent="0.35">
      <c r="A140" s="9"/>
      <c r="B140" s="126"/>
      <c r="C140" s="149"/>
      <c r="D140" s="149"/>
      <c r="E140" s="149"/>
      <c r="F140" s="149"/>
      <c r="G140" s="149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1:19" ht="14.5" x14ac:dyDescent="0.35">
      <c r="A141" s="9"/>
      <c r="B141" s="126"/>
      <c r="C141" s="149"/>
      <c r="D141" s="149"/>
      <c r="E141" s="149"/>
      <c r="F141" s="149"/>
      <c r="G141" s="149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</row>
    <row r="142" spans="1:19" ht="14.5" x14ac:dyDescent="0.35">
      <c r="A142" s="9"/>
      <c r="B142" s="126"/>
      <c r="C142" s="149"/>
      <c r="D142" s="149"/>
      <c r="E142" s="149"/>
      <c r="F142" s="149"/>
      <c r="G142" s="149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1:19" ht="14.5" x14ac:dyDescent="0.35">
      <c r="A143" s="9"/>
      <c r="B143" s="126"/>
      <c r="C143" s="149"/>
      <c r="D143" s="149"/>
      <c r="E143" s="149"/>
      <c r="F143" s="149"/>
      <c r="G143" s="149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</row>
    <row r="144" spans="1:19" ht="14.5" x14ac:dyDescent="0.35">
      <c r="A144" s="9"/>
      <c r="B144" s="126"/>
      <c r="C144" s="149"/>
      <c r="D144" s="149"/>
      <c r="E144" s="149"/>
      <c r="F144" s="149"/>
      <c r="G144" s="149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1:19" ht="14.5" x14ac:dyDescent="0.35">
      <c r="A145" s="9"/>
      <c r="B145" s="126"/>
      <c r="C145" s="149"/>
      <c r="D145" s="149"/>
      <c r="E145" s="149"/>
      <c r="F145" s="149"/>
      <c r="G145" s="149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</row>
    <row r="146" spans="1:19" ht="14.5" x14ac:dyDescent="0.35">
      <c r="A146" s="9"/>
      <c r="B146" s="126"/>
      <c r="C146" s="149"/>
      <c r="D146" s="149"/>
      <c r="E146" s="149"/>
      <c r="F146" s="149"/>
      <c r="G146" s="149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1:19" ht="14.5" x14ac:dyDescent="0.35">
      <c r="A147" s="9"/>
      <c r="B147" s="126"/>
      <c r="C147" s="149"/>
      <c r="D147" s="149"/>
      <c r="E147" s="149"/>
      <c r="F147" s="149"/>
      <c r="G147" s="149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</row>
    <row r="148" spans="1:19" ht="14.5" x14ac:dyDescent="0.35">
      <c r="A148" s="9"/>
      <c r="B148" s="126"/>
      <c r="C148" s="149"/>
      <c r="D148" s="149"/>
      <c r="E148" s="149"/>
      <c r="F148" s="149"/>
      <c r="G148" s="149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1:19" ht="14.5" x14ac:dyDescent="0.35">
      <c r="A149" s="9"/>
      <c r="B149" s="126"/>
      <c r="C149" s="149"/>
      <c r="D149" s="149"/>
      <c r="E149" s="149"/>
      <c r="F149" s="149"/>
      <c r="G149" s="149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</row>
    <row r="150" spans="1:19" ht="14.5" x14ac:dyDescent="0.35">
      <c r="A150" s="9"/>
      <c r="B150" s="126"/>
      <c r="C150" s="149"/>
      <c r="D150" s="149"/>
      <c r="E150" s="149"/>
      <c r="F150" s="149"/>
      <c r="G150" s="149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1:19" ht="14.5" x14ac:dyDescent="0.35">
      <c r="A151" s="9"/>
      <c r="B151" s="126"/>
      <c r="C151" s="149"/>
      <c r="D151" s="149"/>
      <c r="E151" s="149"/>
      <c r="F151" s="149"/>
      <c r="G151" s="149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</row>
    <row r="152" spans="1:19" ht="14.5" x14ac:dyDescent="0.35">
      <c r="A152" s="9"/>
      <c r="B152" s="126"/>
      <c r="C152" s="149"/>
      <c r="D152" s="149"/>
      <c r="E152" s="149"/>
      <c r="F152" s="149"/>
      <c r="G152" s="149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1:19" ht="14.5" x14ac:dyDescent="0.35">
      <c r="A153" s="9"/>
      <c r="B153" s="126"/>
      <c r="C153" s="149"/>
      <c r="D153" s="149"/>
      <c r="E153" s="149"/>
      <c r="F153" s="149"/>
      <c r="G153" s="149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</row>
    <row r="154" spans="1:19" ht="14.5" x14ac:dyDescent="0.35">
      <c r="A154" s="9"/>
      <c r="B154" s="126"/>
      <c r="C154" s="149"/>
      <c r="D154" s="149"/>
      <c r="E154" s="149"/>
      <c r="F154" s="149"/>
      <c r="G154" s="149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1:19" ht="14.5" x14ac:dyDescent="0.35">
      <c r="A155" s="9"/>
      <c r="B155" s="126"/>
      <c r="C155" s="149"/>
      <c r="D155" s="149"/>
      <c r="E155" s="149"/>
      <c r="F155" s="149"/>
      <c r="G155" s="149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</row>
    <row r="156" spans="1:19" ht="14.5" x14ac:dyDescent="0.35">
      <c r="A156" s="9"/>
      <c r="B156" s="126"/>
      <c r="C156" s="149"/>
      <c r="D156" s="149"/>
      <c r="E156" s="149"/>
      <c r="F156" s="149"/>
      <c r="G156" s="149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1:19" ht="14.5" x14ac:dyDescent="0.35">
      <c r="A157" s="9"/>
      <c r="B157" s="126"/>
      <c r="C157" s="149"/>
      <c r="D157" s="149"/>
      <c r="E157" s="149"/>
      <c r="F157" s="149"/>
      <c r="G157" s="149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</row>
    <row r="158" spans="1:19" ht="14.5" x14ac:dyDescent="0.35">
      <c r="A158" s="9"/>
      <c r="B158" s="126"/>
      <c r="C158" s="149"/>
      <c r="D158" s="149"/>
      <c r="E158" s="149"/>
      <c r="F158" s="149"/>
      <c r="G158" s="149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1:19" ht="14.5" x14ac:dyDescent="0.35">
      <c r="A159" s="9"/>
      <c r="B159" s="126"/>
      <c r="C159" s="149"/>
      <c r="D159" s="149"/>
      <c r="E159" s="149"/>
      <c r="F159" s="149"/>
      <c r="G159" s="149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</row>
    <row r="160" spans="1:19" ht="14.5" x14ac:dyDescent="0.35">
      <c r="A160" s="9"/>
      <c r="B160" s="126"/>
      <c r="C160" s="149"/>
      <c r="D160" s="149"/>
      <c r="E160" s="149"/>
      <c r="F160" s="149"/>
      <c r="G160" s="149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1:19" ht="14.5" x14ac:dyDescent="0.35">
      <c r="A161" s="9"/>
      <c r="B161" s="126"/>
      <c r="C161" s="149"/>
      <c r="D161" s="149"/>
      <c r="E161" s="149"/>
      <c r="F161" s="149"/>
      <c r="G161" s="149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</row>
    <row r="162" spans="1:19" ht="14.5" x14ac:dyDescent="0.35">
      <c r="A162" s="9"/>
      <c r="B162" s="126"/>
      <c r="C162" s="149"/>
      <c r="D162" s="149"/>
      <c r="E162" s="149"/>
      <c r="F162" s="149"/>
      <c r="G162" s="149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1:19" ht="14.5" x14ac:dyDescent="0.35">
      <c r="A163" s="9"/>
      <c r="B163" s="126"/>
      <c r="C163" s="149"/>
      <c r="D163" s="149"/>
      <c r="E163" s="149"/>
      <c r="F163" s="149"/>
      <c r="G163" s="149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</row>
    <row r="164" spans="1:19" ht="14.5" x14ac:dyDescent="0.35">
      <c r="A164" s="9"/>
      <c r="B164" s="126"/>
      <c r="C164" s="149"/>
      <c r="D164" s="149"/>
      <c r="E164" s="149"/>
      <c r="F164" s="149"/>
      <c r="G164" s="149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1:19" ht="14.5" x14ac:dyDescent="0.35">
      <c r="A165" s="9"/>
      <c r="B165" s="126"/>
      <c r="C165" s="149"/>
      <c r="D165" s="149"/>
      <c r="E165" s="149"/>
      <c r="F165" s="149"/>
      <c r="G165" s="149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</row>
    <row r="166" spans="1:19" ht="14.5" x14ac:dyDescent="0.35">
      <c r="A166" s="9"/>
      <c r="B166" s="126"/>
      <c r="C166" s="149"/>
      <c r="D166" s="149"/>
      <c r="E166" s="149"/>
      <c r="F166" s="149"/>
      <c r="G166" s="149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1:19" ht="14.5" x14ac:dyDescent="0.35">
      <c r="A167" s="9"/>
      <c r="B167" s="126"/>
      <c r="C167" s="149"/>
      <c r="D167" s="149"/>
      <c r="E167" s="149"/>
      <c r="F167" s="149"/>
      <c r="G167" s="149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</row>
    <row r="168" spans="1:19" ht="14.5" x14ac:dyDescent="0.35">
      <c r="A168" s="9"/>
      <c r="B168" s="126"/>
      <c r="C168" s="149"/>
      <c r="D168" s="149"/>
      <c r="E168" s="149"/>
      <c r="F168" s="149"/>
      <c r="G168" s="149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1:19" ht="14.5" x14ac:dyDescent="0.35">
      <c r="A169" s="9"/>
      <c r="B169" s="126"/>
      <c r="C169" s="149"/>
      <c r="D169" s="149"/>
      <c r="E169" s="149"/>
      <c r="F169" s="149"/>
      <c r="G169" s="149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</row>
    <row r="170" spans="1:19" ht="14.5" x14ac:dyDescent="0.35">
      <c r="A170" s="9"/>
      <c r="B170" s="126"/>
      <c r="C170" s="149"/>
      <c r="D170" s="149"/>
      <c r="E170" s="149"/>
      <c r="F170" s="149"/>
      <c r="G170" s="149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1:19" ht="14.5" x14ac:dyDescent="0.35">
      <c r="A171" s="9"/>
      <c r="B171" s="126"/>
      <c r="C171" s="149"/>
      <c r="D171" s="149"/>
      <c r="E171" s="149"/>
      <c r="F171" s="149"/>
      <c r="G171" s="149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</row>
    <row r="172" spans="1:19" ht="14.5" x14ac:dyDescent="0.35">
      <c r="A172" s="9"/>
      <c r="B172" s="126"/>
      <c r="C172" s="149"/>
      <c r="D172" s="149"/>
      <c r="E172" s="149"/>
      <c r="F172" s="149"/>
      <c r="G172" s="149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1:19" ht="14.5" x14ac:dyDescent="0.35">
      <c r="A173" s="9"/>
      <c r="B173" s="126"/>
      <c r="C173" s="149"/>
      <c r="D173" s="149"/>
      <c r="E173" s="149"/>
      <c r="F173" s="149"/>
      <c r="G173" s="149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</row>
    <row r="174" spans="1:19" ht="14.5" x14ac:dyDescent="0.35">
      <c r="A174" s="9"/>
      <c r="B174" s="126"/>
      <c r="C174" s="149"/>
      <c r="D174" s="149"/>
      <c r="E174" s="149"/>
      <c r="F174" s="149"/>
      <c r="G174" s="149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1:19" ht="14.5" x14ac:dyDescent="0.35">
      <c r="A175" s="9"/>
      <c r="B175" s="126"/>
      <c r="C175" s="149"/>
      <c r="D175" s="149"/>
      <c r="E175" s="149"/>
      <c r="F175" s="149"/>
      <c r="G175" s="149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</row>
    <row r="176" spans="1:19" ht="14.5" x14ac:dyDescent="0.35">
      <c r="A176" s="9"/>
      <c r="B176" s="126"/>
      <c r="C176" s="149"/>
      <c r="D176" s="149"/>
      <c r="E176" s="149"/>
      <c r="F176" s="149"/>
      <c r="G176" s="149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1:19" ht="14.5" x14ac:dyDescent="0.35">
      <c r="A177" s="9"/>
      <c r="B177" s="126"/>
      <c r="C177" s="149"/>
      <c r="D177" s="149"/>
      <c r="E177" s="149"/>
      <c r="F177" s="149"/>
      <c r="G177" s="149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</row>
    <row r="178" spans="1:19" ht="14.5" x14ac:dyDescent="0.35">
      <c r="A178" s="9"/>
      <c r="B178" s="126"/>
      <c r="C178" s="149"/>
      <c r="D178" s="149"/>
      <c r="E178" s="149"/>
      <c r="F178" s="149"/>
      <c r="G178" s="149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1:19" ht="14.5" x14ac:dyDescent="0.35">
      <c r="A179" s="9"/>
      <c r="B179" s="126"/>
      <c r="C179" s="149"/>
      <c r="D179" s="149"/>
      <c r="E179" s="149"/>
      <c r="F179" s="149"/>
      <c r="G179" s="149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</row>
    <row r="180" spans="1:19" ht="14.5" x14ac:dyDescent="0.35">
      <c r="A180" s="9"/>
      <c r="B180" s="126"/>
      <c r="C180" s="149"/>
      <c r="D180" s="149"/>
      <c r="E180" s="149"/>
      <c r="F180" s="149"/>
      <c r="G180" s="149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1:19" ht="14.5" x14ac:dyDescent="0.35">
      <c r="A181" s="9"/>
      <c r="B181" s="126"/>
      <c r="C181" s="149"/>
      <c r="D181" s="149"/>
      <c r="E181" s="149"/>
      <c r="F181" s="149"/>
      <c r="G181" s="149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</row>
    <row r="182" spans="1:19" ht="14.5" x14ac:dyDescent="0.35">
      <c r="A182" s="9"/>
      <c r="B182" s="126"/>
      <c r="C182" s="149"/>
      <c r="D182" s="149"/>
      <c r="E182" s="149"/>
      <c r="F182" s="149"/>
      <c r="G182" s="149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1:19" ht="14.5" x14ac:dyDescent="0.35">
      <c r="A183" s="9"/>
      <c r="B183" s="126"/>
      <c r="C183" s="149"/>
      <c r="D183" s="149"/>
      <c r="E183" s="149"/>
      <c r="F183" s="149"/>
      <c r="G183" s="149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</row>
    <row r="184" spans="1:19" ht="14.5" x14ac:dyDescent="0.35">
      <c r="A184" s="9"/>
      <c r="B184" s="126"/>
      <c r="C184" s="149"/>
      <c r="D184" s="149"/>
      <c r="E184" s="149"/>
      <c r="F184" s="149"/>
      <c r="G184" s="149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1:19" ht="14.5" x14ac:dyDescent="0.35">
      <c r="A185" s="9"/>
      <c r="B185" s="126"/>
      <c r="C185" s="149"/>
      <c r="D185" s="149"/>
      <c r="E185" s="149"/>
      <c r="F185" s="149"/>
      <c r="G185" s="149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</row>
    <row r="186" spans="1:19" ht="14.5" x14ac:dyDescent="0.35">
      <c r="A186" s="9"/>
      <c r="B186" s="126"/>
      <c r="C186" s="149"/>
      <c r="D186" s="149"/>
      <c r="E186" s="149"/>
      <c r="F186" s="149"/>
      <c r="G186" s="149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1:19" ht="14.5" x14ac:dyDescent="0.35">
      <c r="A187" s="9"/>
      <c r="B187" s="126"/>
      <c r="C187" s="149"/>
      <c r="D187" s="149"/>
      <c r="E187" s="149"/>
      <c r="F187" s="149"/>
      <c r="G187" s="149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</row>
    <row r="188" spans="1:19" ht="14.5" x14ac:dyDescent="0.35">
      <c r="A188" s="9"/>
      <c r="B188" s="126"/>
      <c r="C188" s="149"/>
      <c r="D188" s="149"/>
      <c r="E188" s="149"/>
      <c r="F188" s="149"/>
      <c r="G188" s="149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1:19" ht="14.5" x14ac:dyDescent="0.35">
      <c r="A189" s="9"/>
      <c r="B189" s="126"/>
      <c r="C189" s="149"/>
      <c r="D189" s="149"/>
      <c r="E189" s="149"/>
      <c r="F189" s="149"/>
      <c r="G189" s="149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</row>
    <row r="190" spans="1:19" ht="14.5" x14ac:dyDescent="0.35">
      <c r="A190" s="9"/>
      <c r="B190" s="126"/>
      <c r="C190" s="149"/>
      <c r="D190" s="149"/>
      <c r="E190" s="149"/>
      <c r="F190" s="149"/>
      <c r="G190" s="149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1:19" ht="14.5" x14ac:dyDescent="0.35">
      <c r="A191" s="9"/>
      <c r="B191" s="126"/>
      <c r="C191" s="149"/>
      <c r="D191" s="149"/>
      <c r="E191" s="149"/>
      <c r="F191" s="149"/>
      <c r="G191" s="149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</row>
    <row r="192" spans="1:19" ht="14.5" x14ac:dyDescent="0.35">
      <c r="A192" s="9"/>
      <c r="B192" s="126"/>
      <c r="C192" s="149"/>
      <c r="D192" s="149"/>
      <c r="E192" s="149"/>
      <c r="F192" s="149"/>
      <c r="G192" s="149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1:19" ht="14.5" x14ac:dyDescent="0.35">
      <c r="A193" s="9"/>
      <c r="B193" s="126"/>
      <c r="C193" s="149"/>
      <c r="D193" s="149"/>
      <c r="E193" s="149"/>
      <c r="F193" s="149"/>
      <c r="G193" s="149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</row>
    <row r="194" spans="1:19" ht="14.5" x14ac:dyDescent="0.35">
      <c r="A194" s="9"/>
      <c r="B194" s="126"/>
      <c r="C194" s="149"/>
      <c r="D194" s="149"/>
      <c r="E194" s="149"/>
      <c r="F194" s="149"/>
      <c r="G194" s="149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1:19" ht="14.5" x14ac:dyDescent="0.35">
      <c r="A195" s="9"/>
      <c r="B195" s="126"/>
      <c r="C195" s="149"/>
      <c r="D195" s="149"/>
      <c r="E195" s="149"/>
      <c r="F195" s="149"/>
      <c r="G195" s="149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</row>
    <row r="196" spans="1:19" ht="14.5" x14ac:dyDescent="0.35">
      <c r="A196" s="9"/>
      <c r="B196" s="126"/>
      <c r="C196" s="149"/>
      <c r="D196" s="149"/>
      <c r="E196" s="149"/>
      <c r="F196" s="149"/>
      <c r="G196" s="149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1:19" ht="14.5" x14ac:dyDescent="0.35">
      <c r="A197" s="9"/>
      <c r="B197" s="126"/>
      <c r="C197" s="149"/>
      <c r="D197" s="149"/>
      <c r="E197" s="149"/>
      <c r="F197" s="149"/>
      <c r="G197" s="149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</row>
    <row r="198" spans="1:19" ht="14.5" x14ac:dyDescent="0.35">
      <c r="A198" s="9"/>
      <c r="B198" s="126"/>
      <c r="C198" s="149"/>
      <c r="D198" s="149"/>
      <c r="E198" s="149"/>
      <c r="F198" s="149"/>
      <c r="G198" s="149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1:19" ht="14.5" x14ac:dyDescent="0.35">
      <c r="A199" s="9"/>
      <c r="B199" s="126"/>
      <c r="C199" s="149"/>
      <c r="D199" s="149"/>
      <c r="E199" s="149"/>
      <c r="F199" s="149"/>
      <c r="G199" s="149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</row>
    <row r="200" spans="1:19" ht="14.5" x14ac:dyDescent="0.35">
      <c r="A200" s="9"/>
      <c r="B200" s="126"/>
      <c r="C200" s="149"/>
      <c r="D200" s="149"/>
      <c r="E200" s="149"/>
      <c r="F200" s="149"/>
      <c r="G200" s="149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1:19" ht="14.5" x14ac:dyDescent="0.35">
      <c r="A201" s="9"/>
      <c r="B201" s="126"/>
      <c r="C201" s="149"/>
      <c r="D201" s="149"/>
      <c r="E201" s="149"/>
      <c r="F201" s="149"/>
      <c r="G201" s="149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</row>
    <row r="202" spans="1:19" ht="14.5" x14ac:dyDescent="0.35">
      <c r="A202" s="9"/>
      <c r="B202" s="126"/>
      <c r="C202" s="149"/>
      <c r="D202" s="149"/>
      <c r="E202" s="149"/>
      <c r="F202" s="149"/>
      <c r="G202" s="149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1:19" ht="14.5" x14ac:dyDescent="0.35">
      <c r="A203" s="9"/>
      <c r="B203" s="126"/>
      <c r="C203" s="149"/>
      <c r="D203" s="149"/>
      <c r="E203" s="149"/>
      <c r="F203" s="149"/>
      <c r="G203" s="149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</row>
    <row r="204" spans="1:19" ht="14.5" x14ac:dyDescent="0.35">
      <c r="A204" s="9"/>
      <c r="B204" s="126"/>
      <c r="C204" s="149"/>
      <c r="D204" s="149"/>
      <c r="E204" s="149"/>
      <c r="F204" s="149"/>
      <c r="G204" s="149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1:19" ht="14.5" x14ac:dyDescent="0.35">
      <c r="A205" s="9"/>
      <c r="B205" s="126"/>
      <c r="C205" s="149"/>
      <c r="D205" s="149"/>
      <c r="E205" s="149"/>
      <c r="F205" s="149"/>
      <c r="G205" s="149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</row>
    <row r="206" spans="1:19" ht="14.5" x14ac:dyDescent="0.35">
      <c r="A206" s="9"/>
      <c r="B206" s="126"/>
      <c r="C206" s="149"/>
      <c r="D206" s="149"/>
      <c r="E206" s="149"/>
      <c r="F206" s="149"/>
      <c r="G206" s="149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1:19" ht="14.5" x14ac:dyDescent="0.35">
      <c r="A207" s="9"/>
      <c r="B207" s="126"/>
      <c r="C207" s="149"/>
      <c r="D207" s="149"/>
      <c r="E207" s="149"/>
      <c r="F207" s="149"/>
      <c r="G207" s="149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</row>
    <row r="208" spans="1:19" ht="14.5" x14ac:dyDescent="0.35">
      <c r="A208" s="9"/>
      <c r="B208" s="126"/>
      <c r="C208" s="149"/>
      <c r="D208" s="149"/>
      <c r="E208" s="149"/>
      <c r="F208" s="149"/>
      <c r="G208" s="149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1:19" ht="14.5" x14ac:dyDescent="0.35">
      <c r="A209" s="9"/>
      <c r="B209" s="126"/>
      <c r="C209" s="149"/>
      <c r="D209" s="149"/>
      <c r="E209" s="149"/>
      <c r="F209" s="149"/>
      <c r="G209" s="149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</row>
    <row r="210" spans="1:19" ht="14.5" x14ac:dyDescent="0.35">
      <c r="A210" s="9"/>
      <c r="B210" s="126"/>
      <c r="C210" s="149"/>
      <c r="D210" s="149"/>
      <c r="E210" s="149"/>
      <c r="F210" s="149"/>
      <c r="G210" s="149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1:19" ht="14.5" x14ac:dyDescent="0.35">
      <c r="A211" s="9"/>
      <c r="B211" s="126"/>
      <c r="C211" s="149"/>
      <c r="D211" s="149"/>
      <c r="E211" s="149"/>
      <c r="F211" s="149"/>
      <c r="G211" s="149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</row>
    <row r="212" spans="1:19" ht="14.5" x14ac:dyDescent="0.35">
      <c r="A212" s="9"/>
      <c r="B212" s="126"/>
      <c r="C212" s="149"/>
      <c r="D212" s="149"/>
      <c r="E212" s="149"/>
      <c r="F212" s="149"/>
      <c r="G212" s="149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1:19" ht="14.5" x14ac:dyDescent="0.35">
      <c r="A213" s="9"/>
      <c r="B213" s="126"/>
      <c r="C213" s="149"/>
      <c r="D213" s="149"/>
      <c r="E213" s="149"/>
      <c r="F213" s="149"/>
      <c r="G213" s="149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</row>
    <row r="214" spans="1:19" ht="14.5" x14ac:dyDescent="0.35">
      <c r="A214" s="9"/>
      <c r="B214" s="126"/>
      <c r="C214" s="149"/>
      <c r="D214" s="149"/>
      <c r="E214" s="149"/>
      <c r="F214" s="149"/>
      <c r="G214" s="149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1:19" ht="14.5" x14ac:dyDescent="0.35">
      <c r="A215" s="9"/>
      <c r="B215" s="126"/>
      <c r="C215" s="149"/>
      <c r="D215" s="149"/>
      <c r="E215" s="149"/>
      <c r="F215" s="149"/>
      <c r="G215" s="149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</row>
    <row r="216" spans="1:19" ht="14.5" x14ac:dyDescent="0.35">
      <c r="A216" s="9"/>
      <c r="B216" s="126"/>
      <c r="C216" s="149"/>
      <c r="D216" s="149"/>
      <c r="E216" s="149"/>
      <c r="F216" s="149"/>
      <c r="G216" s="149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1:19" ht="14.5" x14ac:dyDescent="0.35">
      <c r="A217" s="9"/>
      <c r="B217" s="126"/>
      <c r="C217" s="149"/>
      <c r="D217" s="149"/>
      <c r="E217" s="149"/>
      <c r="F217" s="149"/>
      <c r="G217" s="149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</row>
    <row r="218" spans="1:19" ht="14.5" x14ac:dyDescent="0.35">
      <c r="A218" s="9"/>
      <c r="B218" s="126"/>
      <c r="C218" s="149"/>
      <c r="D218" s="149"/>
      <c r="E218" s="149"/>
      <c r="F218" s="149"/>
      <c r="G218" s="149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1:19" ht="14.5" x14ac:dyDescent="0.35">
      <c r="A219" s="9"/>
      <c r="B219" s="126"/>
      <c r="C219" s="149"/>
      <c r="D219" s="149"/>
      <c r="E219" s="149"/>
      <c r="F219" s="149"/>
      <c r="G219" s="149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</row>
    <row r="220" spans="1:19" ht="14.5" x14ac:dyDescent="0.35">
      <c r="A220" s="9"/>
      <c r="B220" s="126"/>
      <c r="C220" s="149"/>
      <c r="D220" s="149"/>
      <c r="E220" s="149"/>
      <c r="F220" s="149"/>
      <c r="G220" s="149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1:19" ht="14.5" x14ac:dyDescent="0.35">
      <c r="A221" s="9"/>
      <c r="B221" s="126"/>
      <c r="C221" s="149"/>
      <c r="D221" s="149"/>
      <c r="E221" s="149"/>
      <c r="F221" s="149"/>
      <c r="G221" s="149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</row>
    <row r="222" spans="1:19" ht="14.5" x14ac:dyDescent="0.35">
      <c r="A222" s="9"/>
      <c r="B222" s="126"/>
      <c r="C222" s="149"/>
      <c r="D222" s="149"/>
      <c r="E222" s="149"/>
      <c r="F222" s="149"/>
      <c r="G222" s="149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1:19" ht="14.5" x14ac:dyDescent="0.35">
      <c r="A223" s="9"/>
      <c r="B223" s="126"/>
      <c r="C223" s="149"/>
      <c r="D223" s="149"/>
      <c r="E223" s="149"/>
      <c r="F223" s="149"/>
      <c r="G223" s="149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</row>
    <row r="224" spans="1:19" ht="14.5" x14ac:dyDescent="0.35">
      <c r="A224" s="9"/>
      <c r="B224" s="126"/>
      <c r="C224" s="149"/>
      <c r="D224" s="149"/>
      <c r="E224" s="149"/>
      <c r="F224" s="149"/>
      <c r="G224" s="149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1:19" ht="14.5" x14ac:dyDescent="0.35">
      <c r="A225" s="9"/>
      <c r="B225" s="126"/>
      <c r="C225" s="149"/>
      <c r="D225" s="149"/>
      <c r="E225" s="149"/>
      <c r="F225" s="149"/>
      <c r="G225" s="149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</row>
    <row r="226" spans="1:19" ht="14.5" x14ac:dyDescent="0.35">
      <c r="A226" s="9"/>
      <c r="B226" s="126"/>
      <c r="C226" s="149"/>
      <c r="D226" s="149"/>
      <c r="E226" s="149"/>
      <c r="F226" s="149"/>
      <c r="G226" s="149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1:19" ht="14.5" x14ac:dyDescent="0.35">
      <c r="A227" s="9"/>
      <c r="B227" s="126"/>
      <c r="C227" s="149"/>
      <c r="D227" s="149"/>
      <c r="E227" s="149"/>
      <c r="F227" s="149"/>
      <c r="G227" s="149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</row>
    <row r="228" spans="1:19" ht="14.5" x14ac:dyDescent="0.35">
      <c r="A228" s="9"/>
      <c r="B228" s="126"/>
      <c r="C228" s="149"/>
      <c r="D228" s="149"/>
      <c r="E228" s="149"/>
      <c r="F228" s="149"/>
      <c r="G228" s="149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1:19" ht="14.5" x14ac:dyDescent="0.35">
      <c r="A229" s="9"/>
      <c r="B229" s="126"/>
      <c r="C229" s="149"/>
      <c r="D229" s="149"/>
      <c r="E229" s="149"/>
      <c r="F229" s="149"/>
      <c r="G229" s="149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</row>
    <row r="230" spans="1:19" ht="14.5" x14ac:dyDescent="0.35">
      <c r="A230" s="9"/>
      <c r="B230" s="126"/>
      <c r="C230" s="149"/>
      <c r="D230" s="149"/>
      <c r="E230" s="149"/>
      <c r="F230" s="149"/>
      <c r="G230" s="149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1:19" ht="14.5" x14ac:dyDescent="0.35">
      <c r="A231" s="9"/>
      <c r="B231" s="126"/>
      <c r="C231" s="149"/>
      <c r="D231" s="149"/>
      <c r="E231" s="149"/>
      <c r="F231" s="149"/>
      <c r="G231" s="149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</row>
    <row r="232" spans="1:19" ht="14.5" x14ac:dyDescent="0.35">
      <c r="A232" s="9"/>
      <c r="B232" s="126"/>
      <c r="C232" s="149"/>
      <c r="D232" s="149"/>
      <c r="E232" s="149"/>
      <c r="F232" s="149"/>
      <c r="G232" s="149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1:19" ht="14.5" x14ac:dyDescent="0.35">
      <c r="A233" s="9"/>
      <c r="B233" s="126"/>
      <c r="C233" s="149"/>
      <c r="D233" s="149"/>
      <c r="E233" s="149"/>
      <c r="F233" s="149"/>
      <c r="G233" s="149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</row>
    <row r="234" spans="1:19" ht="14.5" x14ac:dyDescent="0.35">
      <c r="A234" s="9"/>
      <c r="B234" s="126"/>
      <c r="C234" s="149"/>
      <c r="D234" s="149"/>
      <c r="E234" s="149"/>
      <c r="F234" s="149"/>
      <c r="G234" s="149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1:19" ht="14.5" x14ac:dyDescent="0.35">
      <c r="A235" s="9"/>
      <c r="B235" s="126"/>
      <c r="C235" s="149"/>
      <c r="D235" s="149"/>
      <c r="E235" s="149"/>
      <c r="F235" s="149"/>
      <c r="G235" s="149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</row>
    <row r="236" spans="1:19" ht="14.5" x14ac:dyDescent="0.35">
      <c r="A236" s="9"/>
      <c r="B236" s="126"/>
      <c r="C236" s="149"/>
      <c r="D236" s="149"/>
      <c r="E236" s="149"/>
      <c r="F236" s="149"/>
      <c r="G236" s="149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1:19" ht="14.5" x14ac:dyDescent="0.35">
      <c r="A237" s="9"/>
      <c r="B237" s="126"/>
      <c r="C237" s="149"/>
      <c r="D237" s="149"/>
      <c r="E237" s="149"/>
      <c r="F237" s="149"/>
      <c r="G237" s="149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</row>
    <row r="238" spans="1:19" ht="14.5" x14ac:dyDescent="0.35">
      <c r="A238" s="9"/>
      <c r="B238" s="126"/>
      <c r="C238" s="149"/>
      <c r="D238" s="149"/>
      <c r="E238" s="149"/>
      <c r="F238" s="149"/>
      <c r="G238" s="149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1:19" ht="14.5" x14ac:dyDescent="0.35">
      <c r="A239" s="9"/>
      <c r="B239" s="126"/>
      <c r="C239" s="149"/>
      <c r="D239" s="149"/>
      <c r="E239" s="149"/>
      <c r="F239" s="149"/>
      <c r="G239" s="149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</row>
    <row r="240" spans="1:19" ht="14.5" x14ac:dyDescent="0.35">
      <c r="A240" s="9"/>
      <c r="B240" s="126"/>
      <c r="C240" s="149"/>
      <c r="D240" s="149"/>
      <c r="E240" s="149"/>
      <c r="F240" s="149"/>
      <c r="G240" s="149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1:19" ht="14.5" x14ac:dyDescent="0.35">
      <c r="A241" s="9"/>
      <c r="B241" s="126"/>
      <c r="C241" s="149"/>
      <c r="D241" s="149"/>
      <c r="E241" s="149"/>
      <c r="F241" s="149"/>
      <c r="G241" s="149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</row>
    <row r="242" spans="1:19" ht="14.5" x14ac:dyDescent="0.35">
      <c r="A242" s="9"/>
      <c r="B242" s="126"/>
      <c r="C242" s="149"/>
      <c r="D242" s="149"/>
      <c r="E242" s="149"/>
      <c r="F242" s="149"/>
      <c r="G242" s="149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1:19" ht="14.5" x14ac:dyDescent="0.35">
      <c r="A243" s="9"/>
      <c r="B243" s="126"/>
      <c r="C243" s="149"/>
      <c r="D243" s="149"/>
      <c r="E243" s="149"/>
      <c r="F243" s="149"/>
      <c r="G243" s="149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</row>
    <row r="244" spans="1:19" ht="14.5" x14ac:dyDescent="0.35">
      <c r="A244" s="9"/>
      <c r="B244" s="126"/>
      <c r="C244" s="149"/>
      <c r="D244" s="149"/>
      <c r="E244" s="149"/>
      <c r="F244" s="149"/>
      <c r="G244" s="149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1:19" ht="14.5" x14ac:dyDescent="0.35">
      <c r="A245" s="9"/>
      <c r="B245" s="126"/>
      <c r="C245" s="149"/>
      <c r="D245" s="149"/>
      <c r="E245" s="149"/>
      <c r="F245" s="149"/>
      <c r="G245" s="149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</row>
    <row r="246" spans="1:19" ht="14.5" x14ac:dyDescent="0.35">
      <c r="A246" s="9"/>
      <c r="B246" s="126"/>
      <c r="C246" s="149"/>
      <c r="D246" s="149"/>
      <c r="E246" s="149"/>
      <c r="F246" s="149"/>
      <c r="G246" s="149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1:19" ht="14.5" x14ac:dyDescent="0.35">
      <c r="A247" s="9"/>
      <c r="B247" s="126"/>
      <c r="C247" s="149"/>
      <c r="D247" s="149"/>
      <c r="E247" s="149"/>
      <c r="F247" s="149"/>
      <c r="G247" s="149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</row>
    <row r="248" spans="1:19" ht="14.5" x14ac:dyDescent="0.35">
      <c r="A248" s="9"/>
      <c r="B248" s="126"/>
      <c r="C248" s="149"/>
      <c r="D248" s="149"/>
      <c r="E248" s="149"/>
      <c r="F248" s="149"/>
      <c r="G248" s="149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1:19" ht="14.5" x14ac:dyDescent="0.35">
      <c r="A249" s="9"/>
      <c r="B249" s="126"/>
      <c r="C249" s="149"/>
      <c r="D249" s="149"/>
      <c r="E249" s="149"/>
      <c r="F249" s="149"/>
      <c r="G249" s="149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</row>
    <row r="250" spans="1:19" ht="14.5" x14ac:dyDescent="0.35">
      <c r="A250" s="9"/>
      <c r="B250" s="126"/>
      <c r="C250" s="149"/>
      <c r="D250" s="149"/>
      <c r="E250" s="149"/>
      <c r="F250" s="149"/>
      <c r="G250" s="149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1:19" ht="14.5" x14ac:dyDescent="0.35">
      <c r="A251" s="9"/>
      <c r="B251" s="126"/>
      <c r="C251" s="149"/>
      <c r="D251" s="149"/>
      <c r="E251" s="149"/>
      <c r="F251" s="149"/>
      <c r="G251" s="149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</row>
    <row r="252" spans="1:19" ht="14.5" x14ac:dyDescent="0.35">
      <c r="A252" s="9"/>
      <c r="B252" s="126"/>
      <c r="C252" s="149"/>
      <c r="D252" s="149"/>
      <c r="E252" s="149"/>
      <c r="F252" s="149"/>
      <c r="G252" s="149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1:19" ht="14.5" x14ac:dyDescent="0.35">
      <c r="A253" s="9"/>
      <c r="B253" s="126"/>
      <c r="C253" s="149"/>
      <c r="D253" s="149"/>
      <c r="E253" s="149"/>
      <c r="F253" s="149"/>
      <c r="G253" s="149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</row>
    <row r="254" spans="1:19" ht="14.5" x14ac:dyDescent="0.35">
      <c r="A254" s="9"/>
      <c r="B254" s="126"/>
      <c r="C254" s="149"/>
      <c r="D254" s="149"/>
      <c r="E254" s="149"/>
      <c r="F254" s="149"/>
      <c r="G254" s="149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1:19" ht="14.5" x14ac:dyDescent="0.35">
      <c r="A255" s="9"/>
      <c r="B255" s="126"/>
      <c r="C255" s="149"/>
      <c r="D255" s="149"/>
      <c r="E255" s="149"/>
      <c r="F255" s="149"/>
      <c r="G255" s="149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</row>
    <row r="256" spans="1:19" ht="14.5" x14ac:dyDescent="0.35">
      <c r="A256" s="9"/>
      <c r="B256" s="126"/>
      <c r="C256" s="149"/>
      <c r="D256" s="149"/>
      <c r="E256" s="149"/>
      <c r="F256" s="149"/>
      <c r="G256" s="149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1:19" ht="14.5" x14ac:dyDescent="0.35">
      <c r="A257" s="9"/>
      <c r="B257" s="126"/>
      <c r="C257" s="149"/>
      <c r="D257" s="149"/>
      <c r="E257" s="149"/>
      <c r="F257" s="149"/>
      <c r="G257" s="149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</row>
    <row r="258" spans="1:19" ht="14.5" x14ac:dyDescent="0.35">
      <c r="A258" s="9"/>
      <c r="B258" s="126"/>
      <c r="C258" s="149"/>
      <c r="D258" s="149"/>
      <c r="E258" s="149"/>
      <c r="F258" s="149"/>
      <c r="G258" s="149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1:19" ht="14.5" x14ac:dyDescent="0.35">
      <c r="A259" s="9"/>
      <c r="B259" s="126"/>
      <c r="C259" s="149"/>
      <c r="D259" s="149"/>
      <c r="E259" s="149"/>
      <c r="F259" s="149"/>
      <c r="G259" s="149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</row>
    <row r="260" spans="1:19" ht="14.5" x14ac:dyDescent="0.35">
      <c r="A260" s="9"/>
      <c r="B260" s="126"/>
      <c r="C260" s="149"/>
      <c r="D260" s="149"/>
      <c r="E260" s="149"/>
      <c r="F260" s="149"/>
      <c r="G260" s="149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1:19" ht="14.5" x14ac:dyDescent="0.35">
      <c r="A261" s="9"/>
      <c r="B261" s="126"/>
      <c r="C261" s="149"/>
      <c r="D261" s="149"/>
      <c r="E261" s="149"/>
      <c r="F261" s="149"/>
      <c r="G261" s="149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</row>
    <row r="262" spans="1:19" ht="14.5" x14ac:dyDescent="0.35">
      <c r="A262" s="9"/>
      <c r="B262" s="126"/>
      <c r="C262" s="149"/>
      <c r="D262" s="149"/>
      <c r="E262" s="149"/>
      <c r="F262" s="149"/>
      <c r="G262" s="149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1:19" ht="14.5" x14ac:dyDescent="0.35">
      <c r="A263" s="9"/>
      <c r="B263" s="126"/>
      <c r="C263" s="149"/>
      <c r="D263" s="149"/>
      <c r="E263" s="149"/>
      <c r="F263" s="149"/>
      <c r="G263" s="149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</row>
    <row r="264" spans="1:19" ht="14.5" x14ac:dyDescent="0.35">
      <c r="A264" s="9"/>
      <c r="B264" s="126"/>
      <c r="C264" s="149"/>
      <c r="D264" s="149"/>
      <c r="E264" s="149"/>
      <c r="F264" s="149"/>
      <c r="G264" s="149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1:19" ht="14.5" x14ac:dyDescent="0.35">
      <c r="A265" s="9"/>
      <c r="B265" s="126"/>
      <c r="C265" s="149"/>
      <c r="D265" s="149"/>
      <c r="E265" s="149"/>
      <c r="F265" s="149"/>
      <c r="G265" s="149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</row>
    <row r="266" spans="1:19" ht="14.5" x14ac:dyDescent="0.35">
      <c r="A266" s="9"/>
      <c r="B266" s="126"/>
      <c r="C266" s="149"/>
      <c r="D266" s="149"/>
      <c r="E266" s="149"/>
      <c r="F266" s="149"/>
      <c r="G266" s="149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1:19" ht="14.5" x14ac:dyDescent="0.35">
      <c r="A267" s="9"/>
      <c r="B267" s="126"/>
      <c r="C267" s="149"/>
      <c r="D267" s="149"/>
      <c r="E267" s="149"/>
      <c r="F267" s="149"/>
      <c r="G267" s="149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</row>
    <row r="268" spans="1:19" ht="14.5" x14ac:dyDescent="0.35">
      <c r="A268" s="9"/>
      <c r="B268" s="126"/>
      <c r="C268" s="149"/>
      <c r="D268" s="149"/>
      <c r="E268" s="149"/>
      <c r="F268" s="149"/>
      <c r="G268" s="149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1:19" ht="14.5" x14ac:dyDescent="0.35">
      <c r="A269" s="9"/>
      <c r="B269" s="126"/>
      <c r="C269" s="149"/>
      <c r="D269" s="149"/>
      <c r="E269" s="149"/>
      <c r="F269" s="149"/>
      <c r="G269" s="149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</row>
    <row r="270" spans="1:19" ht="14.5" x14ac:dyDescent="0.35">
      <c r="A270" s="9"/>
      <c r="B270" s="126"/>
      <c r="C270" s="149"/>
      <c r="D270" s="149"/>
      <c r="E270" s="149"/>
      <c r="F270" s="149"/>
      <c r="G270" s="149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1:19" ht="14.5" x14ac:dyDescent="0.35">
      <c r="A271" s="9"/>
      <c r="B271" s="126"/>
      <c r="C271" s="149"/>
      <c r="D271" s="149"/>
      <c r="E271" s="149"/>
      <c r="F271" s="149"/>
      <c r="G271" s="149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</row>
    <row r="272" spans="1:19" ht="14.5" x14ac:dyDescent="0.35">
      <c r="A272" s="9"/>
      <c r="B272" s="126"/>
      <c r="C272" s="149"/>
      <c r="D272" s="149"/>
      <c r="E272" s="149"/>
      <c r="F272" s="149"/>
      <c r="G272" s="149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1:19" ht="14.5" x14ac:dyDescent="0.35">
      <c r="A273" s="9"/>
      <c r="B273" s="126"/>
      <c r="C273" s="149"/>
      <c r="D273" s="149"/>
      <c r="E273" s="149"/>
      <c r="F273" s="149"/>
      <c r="G273" s="149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</row>
    <row r="274" spans="1:19" ht="14.5" x14ac:dyDescent="0.35">
      <c r="A274" s="9"/>
      <c r="B274" s="126"/>
      <c r="C274" s="149"/>
      <c r="D274" s="149"/>
      <c r="E274" s="149"/>
      <c r="F274" s="149"/>
      <c r="G274" s="149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1:19" ht="14.5" x14ac:dyDescent="0.35">
      <c r="A275" s="9"/>
      <c r="B275" s="126"/>
      <c r="C275" s="149"/>
      <c r="D275" s="149"/>
      <c r="E275" s="149"/>
      <c r="F275" s="149"/>
      <c r="G275" s="149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</row>
    <row r="276" spans="1:19" ht="14.5" x14ac:dyDescent="0.35">
      <c r="A276" s="9"/>
      <c r="B276" s="126"/>
      <c r="C276" s="149"/>
      <c r="D276" s="149"/>
      <c r="E276" s="149"/>
      <c r="F276" s="149"/>
      <c r="G276" s="149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1:19" ht="14.5" x14ac:dyDescent="0.35">
      <c r="A277" s="9"/>
      <c r="B277" s="126"/>
      <c r="C277" s="149"/>
      <c r="D277" s="149"/>
      <c r="E277" s="149"/>
      <c r="F277" s="149"/>
      <c r="G277" s="149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</row>
    <row r="278" spans="1:19" ht="14.5" x14ac:dyDescent="0.35">
      <c r="A278" s="9"/>
      <c r="B278" s="126"/>
      <c r="C278" s="149"/>
      <c r="D278" s="149"/>
      <c r="E278" s="149"/>
      <c r="F278" s="149"/>
      <c r="G278" s="149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1:19" ht="14.5" x14ac:dyDescent="0.35">
      <c r="A279" s="9"/>
      <c r="B279" s="126"/>
      <c r="C279" s="149"/>
      <c r="D279" s="149"/>
      <c r="E279" s="149"/>
      <c r="F279" s="149"/>
      <c r="G279" s="149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</row>
    <row r="280" spans="1:19" ht="14.5" x14ac:dyDescent="0.35">
      <c r="A280" s="9"/>
      <c r="B280" s="126"/>
      <c r="C280" s="149"/>
      <c r="D280" s="149"/>
      <c r="E280" s="149"/>
      <c r="F280" s="149"/>
      <c r="G280" s="149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</row>
    <row r="281" spans="1:19" ht="14.5" x14ac:dyDescent="0.35">
      <c r="A281" s="9"/>
      <c r="B281" s="126"/>
      <c r="C281" s="149"/>
      <c r="D281" s="149"/>
      <c r="E281" s="149"/>
      <c r="F281" s="149"/>
      <c r="G281" s="149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</row>
    <row r="282" spans="1:19" ht="14.5" x14ac:dyDescent="0.35">
      <c r="A282" s="9"/>
      <c r="B282" s="126"/>
      <c r="C282" s="149"/>
      <c r="D282" s="149"/>
      <c r="E282" s="149"/>
      <c r="F282" s="149"/>
      <c r="G282" s="149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</row>
    <row r="283" spans="1:19" ht="14.5" x14ac:dyDescent="0.35">
      <c r="A283" s="9"/>
      <c r="B283" s="126"/>
      <c r="C283" s="149"/>
      <c r="D283" s="149"/>
      <c r="E283" s="149"/>
      <c r="F283" s="149"/>
      <c r="G283" s="149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</row>
    <row r="284" spans="1:19" ht="14.5" x14ac:dyDescent="0.35">
      <c r="A284" s="9"/>
      <c r="B284" s="126"/>
      <c r="C284" s="149"/>
      <c r="D284" s="149"/>
      <c r="E284" s="149"/>
      <c r="F284" s="149"/>
      <c r="G284" s="149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</row>
    <row r="285" spans="1:19" ht="14.5" x14ac:dyDescent="0.35">
      <c r="A285" s="9"/>
      <c r="B285" s="126"/>
      <c r="C285" s="149"/>
      <c r="D285" s="149"/>
      <c r="E285" s="149"/>
      <c r="F285" s="149"/>
      <c r="G285" s="149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</row>
    <row r="286" spans="1:19" ht="14.5" x14ac:dyDescent="0.35">
      <c r="A286" s="9"/>
      <c r="B286" s="126"/>
      <c r="C286" s="149"/>
      <c r="D286" s="149"/>
      <c r="E286" s="149"/>
      <c r="F286" s="149"/>
      <c r="G286" s="149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</row>
    <row r="287" spans="1:19" ht="14.5" x14ac:dyDescent="0.35">
      <c r="A287" s="9"/>
      <c r="B287" s="126"/>
      <c r="C287" s="149"/>
      <c r="D287" s="149"/>
      <c r="E287" s="149"/>
      <c r="F287" s="149"/>
      <c r="G287" s="149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</row>
    <row r="288" spans="1:19" ht="14.5" x14ac:dyDescent="0.35">
      <c r="A288" s="9"/>
      <c r="B288" s="126"/>
      <c r="C288" s="149"/>
      <c r="D288" s="149"/>
      <c r="E288" s="149"/>
      <c r="F288" s="149"/>
      <c r="G288" s="149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1:19" ht="14.5" x14ac:dyDescent="0.35">
      <c r="A289" s="9"/>
      <c r="B289" s="126"/>
      <c r="C289" s="149"/>
      <c r="D289" s="149"/>
      <c r="E289" s="149"/>
      <c r="F289" s="149"/>
      <c r="G289" s="149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</row>
    <row r="290" spans="1:19" ht="14.5" x14ac:dyDescent="0.35">
      <c r="A290" s="9"/>
      <c r="B290" s="126"/>
      <c r="C290" s="149"/>
      <c r="D290" s="149"/>
      <c r="E290" s="149"/>
      <c r="F290" s="149"/>
      <c r="G290" s="149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</row>
    <row r="291" spans="1:19" ht="14.5" x14ac:dyDescent="0.35">
      <c r="A291" s="9"/>
      <c r="B291" s="126"/>
      <c r="C291" s="149"/>
      <c r="D291" s="149"/>
      <c r="E291" s="149"/>
      <c r="F291" s="149"/>
      <c r="G291" s="149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</row>
    <row r="292" spans="1:19" ht="14.5" x14ac:dyDescent="0.35">
      <c r="A292" s="9"/>
      <c r="B292" s="126"/>
      <c r="C292" s="149"/>
      <c r="D292" s="149"/>
      <c r="E292" s="149"/>
      <c r="F292" s="149"/>
      <c r="G292" s="149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</row>
    <row r="293" spans="1:19" ht="14.5" x14ac:dyDescent="0.35">
      <c r="A293" s="9"/>
      <c r="B293" s="126"/>
      <c r="C293" s="149"/>
      <c r="D293" s="149"/>
      <c r="E293" s="149"/>
      <c r="F293" s="149"/>
      <c r="G293" s="149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</row>
    <row r="294" spans="1:19" ht="14.5" x14ac:dyDescent="0.35">
      <c r="A294" s="9"/>
      <c r="B294" s="126"/>
      <c r="C294" s="149"/>
      <c r="D294" s="149"/>
      <c r="E294" s="149"/>
      <c r="F294" s="149"/>
      <c r="G294" s="149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</row>
    <row r="295" spans="1:19" ht="14.5" x14ac:dyDescent="0.35">
      <c r="A295" s="9"/>
      <c r="B295" s="126"/>
      <c r="C295" s="149"/>
      <c r="D295" s="149"/>
      <c r="E295" s="149"/>
      <c r="F295" s="149"/>
      <c r="G295" s="149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</row>
    <row r="296" spans="1:19" ht="14.5" x14ac:dyDescent="0.35">
      <c r="A296" s="9"/>
      <c r="B296" s="126"/>
      <c r="C296" s="149"/>
      <c r="D296" s="149"/>
      <c r="E296" s="149"/>
      <c r="F296" s="149"/>
      <c r="G296" s="149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</row>
    <row r="297" spans="1:19" ht="14.5" x14ac:dyDescent="0.35">
      <c r="A297" s="9"/>
      <c r="B297" s="126"/>
      <c r="C297" s="149"/>
      <c r="D297" s="149"/>
      <c r="E297" s="149"/>
      <c r="F297" s="149"/>
      <c r="G297" s="149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</row>
    <row r="298" spans="1:19" ht="14.5" x14ac:dyDescent="0.35">
      <c r="A298" s="9"/>
      <c r="B298" s="126"/>
      <c r="C298" s="149"/>
      <c r="D298" s="149"/>
      <c r="E298" s="149"/>
      <c r="F298" s="149"/>
      <c r="G298" s="149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</row>
    <row r="299" spans="1:19" ht="14.5" x14ac:dyDescent="0.35">
      <c r="A299" s="9"/>
      <c r="B299" s="126"/>
      <c r="C299" s="149"/>
      <c r="D299" s="149"/>
      <c r="E299" s="149"/>
      <c r="F299" s="149"/>
      <c r="G299" s="149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</row>
    <row r="300" spans="1:19" ht="14.5" x14ac:dyDescent="0.35">
      <c r="A300" s="9"/>
      <c r="B300" s="126"/>
      <c r="C300" s="149"/>
      <c r="D300" s="149"/>
      <c r="E300" s="149"/>
      <c r="F300" s="149"/>
      <c r="G300" s="149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</row>
    <row r="301" spans="1:19" ht="14.5" x14ac:dyDescent="0.35">
      <c r="A301" s="9"/>
      <c r="B301" s="126"/>
      <c r="C301" s="149"/>
      <c r="D301" s="149"/>
      <c r="E301" s="149"/>
      <c r="F301" s="149"/>
      <c r="G301" s="149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</row>
    <row r="302" spans="1:19" ht="14.5" x14ac:dyDescent="0.35">
      <c r="A302" s="9"/>
      <c r="B302" s="126"/>
      <c r="C302" s="149"/>
      <c r="D302" s="149"/>
      <c r="E302" s="149"/>
      <c r="F302" s="149"/>
      <c r="G302" s="149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</row>
    <row r="303" spans="1:19" ht="14.5" x14ac:dyDescent="0.35">
      <c r="A303" s="9"/>
      <c r="B303" s="126"/>
      <c r="C303" s="149"/>
      <c r="D303" s="149"/>
      <c r="E303" s="149"/>
      <c r="F303" s="149"/>
      <c r="G303" s="149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</row>
    <row r="304" spans="1:19" ht="14.5" x14ac:dyDescent="0.35">
      <c r="A304" s="9"/>
      <c r="B304" s="126"/>
      <c r="C304" s="149"/>
      <c r="D304" s="149"/>
      <c r="E304" s="149"/>
      <c r="F304" s="149"/>
      <c r="G304" s="149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</row>
    <row r="305" spans="1:7" ht="13" x14ac:dyDescent="0.3">
      <c r="A305" s="118"/>
      <c r="C305" s="120"/>
      <c r="D305" s="120"/>
      <c r="E305" s="120"/>
      <c r="F305" s="120"/>
      <c r="G305" s="120"/>
    </row>
    <row r="306" spans="1:7" ht="13" x14ac:dyDescent="0.3">
      <c r="A306" s="118"/>
      <c r="C306" s="120"/>
      <c r="D306" s="120"/>
      <c r="E306" s="120"/>
      <c r="F306" s="120"/>
      <c r="G306" s="120"/>
    </row>
    <row r="307" spans="1:7" ht="13" x14ac:dyDescent="0.3">
      <c r="A307" s="118"/>
      <c r="C307" s="120"/>
      <c r="D307" s="120"/>
      <c r="E307" s="120"/>
      <c r="F307" s="120"/>
      <c r="G307" s="120"/>
    </row>
    <row r="308" spans="1:7" ht="13" x14ac:dyDescent="0.3">
      <c r="A308" s="118"/>
      <c r="C308" s="120"/>
      <c r="D308" s="120"/>
      <c r="E308" s="120"/>
      <c r="F308" s="120"/>
      <c r="G308" s="120"/>
    </row>
    <row r="309" spans="1:7" ht="13" x14ac:dyDescent="0.3">
      <c r="A309" s="118"/>
      <c r="C309" s="120"/>
      <c r="D309" s="120"/>
      <c r="E309" s="120"/>
      <c r="F309" s="120"/>
      <c r="G309" s="120"/>
    </row>
    <row r="310" spans="1:7" ht="13" x14ac:dyDescent="0.3">
      <c r="A310" s="118"/>
      <c r="C310" s="120"/>
      <c r="D310" s="120"/>
      <c r="E310" s="120"/>
      <c r="F310" s="120"/>
      <c r="G310" s="120"/>
    </row>
    <row r="311" spans="1:7" ht="13" x14ac:dyDescent="0.3">
      <c r="A311" s="118"/>
      <c r="C311" s="120"/>
      <c r="D311" s="120"/>
      <c r="E311" s="120"/>
      <c r="F311" s="120"/>
      <c r="G311" s="120"/>
    </row>
    <row r="312" spans="1:7" ht="13" x14ac:dyDescent="0.3">
      <c r="A312" s="118"/>
      <c r="C312" s="120"/>
      <c r="D312" s="120"/>
      <c r="E312" s="120"/>
      <c r="F312" s="120"/>
      <c r="G312" s="120"/>
    </row>
    <row r="313" spans="1:7" ht="13" x14ac:dyDescent="0.3">
      <c r="A313" s="118"/>
      <c r="C313" s="120"/>
      <c r="D313" s="120"/>
      <c r="E313" s="120"/>
      <c r="F313" s="120"/>
      <c r="G313" s="120"/>
    </row>
    <row r="314" spans="1:7" ht="13" x14ac:dyDescent="0.3">
      <c r="A314" s="118"/>
      <c r="C314" s="120"/>
      <c r="D314" s="120"/>
      <c r="E314" s="120"/>
      <c r="F314" s="120"/>
      <c r="G314" s="120"/>
    </row>
    <row r="315" spans="1:7" ht="13" x14ac:dyDescent="0.3">
      <c r="A315" s="118"/>
      <c r="C315" s="120"/>
      <c r="D315" s="120"/>
      <c r="E315" s="120"/>
      <c r="F315" s="120"/>
      <c r="G315" s="120"/>
    </row>
    <row r="316" spans="1:7" ht="13" x14ac:dyDescent="0.3">
      <c r="A316" s="118"/>
      <c r="C316" s="120"/>
      <c r="D316" s="120"/>
      <c r="E316" s="120"/>
      <c r="F316" s="120"/>
      <c r="G316" s="120"/>
    </row>
    <row r="317" spans="1:7" ht="13" x14ac:dyDescent="0.3">
      <c r="A317" s="118"/>
      <c r="C317" s="120"/>
      <c r="D317" s="120"/>
      <c r="E317" s="120"/>
      <c r="F317" s="120"/>
      <c r="G317" s="120"/>
    </row>
    <row r="318" spans="1:7" ht="13" x14ac:dyDescent="0.3">
      <c r="A318" s="118"/>
      <c r="C318" s="120"/>
      <c r="D318" s="120"/>
      <c r="E318" s="120"/>
      <c r="F318" s="120"/>
      <c r="G318" s="120"/>
    </row>
    <row r="319" spans="1:7" ht="13" x14ac:dyDescent="0.3">
      <c r="A319" s="118"/>
      <c r="C319" s="120"/>
      <c r="D319" s="120"/>
      <c r="E319" s="120"/>
      <c r="F319" s="120"/>
      <c r="G319" s="120"/>
    </row>
    <row r="320" spans="1:7" ht="13" x14ac:dyDescent="0.3">
      <c r="A320" s="118"/>
      <c r="C320" s="120"/>
      <c r="D320" s="120"/>
      <c r="E320" s="120"/>
      <c r="F320" s="120"/>
      <c r="G320" s="120"/>
    </row>
    <row r="321" spans="1:7" ht="13" x14ac:dyDescent="0.3">
      <c r="A321" s="118"/>
      <c r="C321" s="120"/>
      <c r="D321" s="120"/>
      <c r="E321" s="120"/>
      <c r="F321" s="120"/>
      <c r="G321" s="120"/>
    </row>
    <row r="322" spans="1:7" ht="13" x14ac:dyDescent="0.3">
      <c r="A322" s="118"/>
      <c r="C322" s="120"/>
      <c r="D322" s="120"/>
      <c r="E322" s="120"/>
      <c r="F322" s="120"/>
      <c r="G322" s="120"/>
    </row>
    <row r="323" spans="1:7" ht="13" x14ac:dyDescent="0.3">
      <c r="A323" s="118"/>
      <c r="C323" s="120"/>
      <c r="D323" s="120"/>
      <c r="E323" s="120"/>
      <c r="F323" s="120"/>
      <c r="G323" s="120"/>
    </row>
    <row r="324" spans="1:7" ht="13" x14ac:dyDescent="0.3">
      <c r="A324" s="118"/>
      <c r="C324" s="120"/>
      <c r="D324" s="120"/>
      <c r="E324" s="120"/>
      <c r="F324" s="120"/>
      <c r="G324" s="120"/>
    </row>
    <row r="325" spans="1:7" ht="13" x14ac:dyDescent="0.3">
      <c r="A325" s="118"/>
      <c r="C325" s="120"/>
      <c r="D325" s="120"/>
      <c r="E325" s="120"/>
      <c r="F325" s="120"/>
      <c r="G325" s="120"/>
    </row>
    <row r="326" spans="1:7" ht="13" x14ac:dyDescent="0.3">
      <c r="A326" s="118"/>
      <c r="C326" s="120"/>
      <c r="D326" s="120"/>
      <c r="E326" s="120"/>
      <c r="F326" s="120"/>
      <c r="G326" s="120"/>
    </row>
    <row r="327" spans="1:7" ht="13" x14ac:dyDescent="0.3">
      <c r="A327" s="118"/>
      <c r="C327" s="120"/>
      <c r="D327" s="120"/>
      <c r="E327" s="120"/>
      <c r="F327" s="120"/>
      <c r="G327" s="120"/>
    </row>
    <row r="328" spans="1:7" ht="13" x14ac:dyDescent="0.3">
      <c r="A328" s="118"/>
      <c r="C328" s="120"/>
      <c r="D328" s="120"/>
      <c r="E328" s="120"/>
      <c r="F328" s="120"/>
      <c r="G328" s="120"/>
    </row>
    <row r="329" spans="1:7" ht="13" x14ac:dyDescent="0.3">
      <c r="A329" s="118"/>
      <c r="C329" s="120"/>
      <c r="D329" s="120"/>
      <c r="E329" s="120"/>
      <c r="F329" s="120"/>
      <c r="G329" s="120"/>
    </row>
    <row r="330" spans="1:7" ht="13" x14ac:dyDescent="0.3">
      <c r="A330" s="118"/>
      <c r="C330" s="120"/>
      <c r="D330" s="120"/>
      <c r="E330" s="120"/>
      <c r="F330" s="120"/>
      <c r="G330" s="120"/>
    </row>
    <row r="331" spans="1:7" ht="13" x14ac:dyDescent="0.3">
      <c r="A331" s="118"/>
      <c r="C331" s="120"/>
      <c r="D331" s="120"/>
      <c r="E331" s="120"/>
      <c r="F331" s="120"/>
      <c r="G331" s="120"/>
    </row>
    <row r="332" spans="1:7" ht="13" x14ac:dyDescent="0.3">
      <c r="A332" s="118"/>
      <c r="C332" s="120"/>
      <c r="D332" s="120"/>
      <c r="E332" s="120"/>
      <c r="F332" s="120"/>
      <c r="G332" s="120"/>
    </row>
    <row r="333" spans="1:7" ht="13" x14ac:dyDescent="0.3">
      <c r="A333" s="118"/>
      <c r="C333" s="120"/>
      <c r="D333" s="120"/>
      <c r="E333" s="120"/>
      <c r="F333" s="120"/>
      <c r="G333" s="120"/>
    </row>
    <row r="334" spans="1:7" ht="13" x14ac:dyDescent="0.3">
      <c r="A334" s="118"/>
      <c r="C334" s="120"/>
      <c r="D334" s="120"/>
      <c r="E334" s="120"/>
      <c r="F334" s="120"/>
      <c r="G334" s="120"/>
    </row>
    <row r="335" spans="1:7" ht="13" x14ac:dyDescent="0.3">
      <c r="A335" s="118"/>
      <c r="C335" s="120"/>
      <c r="D335" s="120"/>
      <c r="E335" s="120"/>
      <c r="F335" s="120"/>
      <c r="G335" s="120"/>
    </row>
    <row r="336" spans="1:7" ht="13" x14ac:dyDescent="0.3">
      <c r="A336" s="118"/>
      <c r="C336" s="120"/>
      <c r="D336" s="120"/>
      <c r="E336" s="120"/>
      <c r="F336" s="120"/>
      <c r="G336" s="120"/>
    </row>
    <row r="337" spans="1:7" ht="13" x14ac:dyDescent="0.3">
      <c r="A337" s="118"/>
      <c r="C337" s="120"/>
      <c r="D337" s="120"/>
      <c r="E337" s="120"/>
      <c r="F337" s="120"/>
      <c r="G337" s="120"/>
    </row>
    <row r="338" spans="1:7" ht="13" x14ac:dyDescent="0.3">
      <c r="A338" s="118"/>
      <c r="C338" s="120"/>
      <c r="D338" s="120"/>
      <c r="E338" s="120"/>
      <c r="F338" s="120"/>
      <c r="G338" s="120"/>
    </row>
    <row r="339" spans="1:7" ht="13" x14ac:dyDescent="0.3">
      <c r="A339" s="118"/>
      <c r="C339" s="120"/>
      <c r="D339" s="120"/>
      <c r="E339" s="120"/>
      <c r="F339" s="120"/>
      <c r="G339" s="120"/>
    </row>
    <row r="340" spans="1:7" ht="13" x14ac:dyDescent="0.3">
      <c r="A340" s="118"/>
      <c r="C340" s="120"/>
      <c r="D340" s="120"/>
      <c r="E340" s="120"/>
      <c r="F340" s="120"/>
      <c r="G340" s="120"/>
    </row>
    <row r="341" spans="1:7" ht="13" x14ac:dyDescent="0.3">
      <c r="A341" s="118"/>
      <c r="C341" s="120"/>
      <c r="D341" s="120"/>
      <c r="E341" s="120"/>
      <c r="F341" s="120"/>
      <c r="G341" s="120"/>
    </row>
    <row r="342" spans="1:7" ht="13" x14ac:dyDescent="0.3">
      <c r="A342" s="118"/>
      <c r="C342" s="120"/>
      <c r="D342" s="120"/>
      <c r="E342" s="120"/>
      <c r="F342" s="120"/>
      <c r="G342" s="120"/>
    </row>
    <row r="343" spans="1:7" ht="13" x14ac:dyDescent="0.3">
      <c r="A343" s="118"/>
      <c r="C343" s="120"/>
      <c r="D343" s="120"/>
      <c r="E343" s="120"/>
      <c r="F343" s="120"/>
      <c r="G343" s="120"/>
    </row>
    <row r="344" spans="1:7" ht="13" x14ac:dyDescent="0.3">
      <c r="A344" s="118"/>
      <c r="C344" s="120"/>
      <c r="D344" s="120"/>
      <c r="E344" s="120"/>
      <c r="F344" s="120"/>
      <c r="G344" s="120"/>
    </row>
    <row r="345" spans="1:7" ht="13" x14ac:dyDescent="0.3">
      <c r="A345" s="118"/>
      <c r="C345" s="120"/>
      <c r="D345" s="120"/>
      <c r="E345" s="120"/>
      <c r="F345" s="120"/>
      <c r="G345" s="120"/>
    </row>
    <row r="346" spans="1:7" ht="13" x14ac:dyDescent="0.3">
      <c r="A346" s="118"/>
      <c r="C346" s="120"/>
      <c r="D346" s="120"/>
      <c r="E346" s="120"/>
      <c r="F346" s="120"/>
      <c r="G346" s="120"/>
    </row>
    <row r="347" spans="1:7" ht="13" x14ac:dyDescent="0.3">
      <c r="A347" s="118"/>
      <c r="C347" s="120"/>
      <c r="D347" s="120"/>
      <c r="E347" s="120"/>
      <c r="F347" s="120"/>
      <c r="G347" s="120"/>
    </row>
    <row r="348" spans="1:7" ht="13" x14ac:dyDescent="0.3">
      <c r="A348" s="118"/>
      <c r="C348" s="120"/>
      <c r="D348" s="120"/>
      <c r="E348" s="120"/>
      <c r="F348" s="120"/>
      <c r="G348" s="120"/>
    </row>
    <row r="349" spans="1:7" ht="13" x14ac:dyDescent="0.3">
      <c r="A349" s="118"/>
      <c r="C349" s="120"/>
      <c r="D349" s="120"/>
      <c r="E349" s="120"/>
      <c r="F349" s="120"/>
      <c r="G349" s="120"/>
    </row>
    <row r="350" spans="1:7" ht="13" x14ac:dyDescent="0.3">
      <c r="A350" s="118"/>
      <c r="C350" s="120"/>
      <c r="D350" s="120"/>
      <c r="E350" s="120"/>
      <c r="F350" s="120"/>
      <c r="G350" s="120"/>
    </row>
    <row r="351" spans="1:7" ht="13" x14ac:dyDescent="0.3">
      <c r="A351" s="118"/>
      <c r="C351" s="120"/>
      <c r="D351" s="120"/>
      <c r="E351" s="120"/>
      <c r="F351" s="120"/>
      <c r="G351" s="120"/>
    </row>
    <row r="352" spans="1:7" ht="13" x14ac:dyDescent="0.3">
      <c r="A352" s="118"/>
      <c r="C352" s="120"/>
      <c r="D352" s="120"/>
      <c r="E352" s="120"/>
      <c r="F352" s="120"/>
      <c r="G352" s="120"/>
    </row>
    <row r="353" spans="1:7" ht="13" x14ac:dyDescent="0.3">
      <c r="A353" s="118"/>
      <c r="C353" s="120"/>
      <c r="D353" s="120"/>
      <c r="E353" s="120"/>
      <c r="F353" s="120"/>
      <c r="G353" s="120"/>
    </row>
    <row r="354" spans="1:7" ht="13" x14ac:dyDescent="0.3">
      <c r="A354" s="118"/>
      <c r="C354" s="120"/>
      <c r="D354" s="120"/>
      <c r="E354" s="120"/>
      <c r="F354" s="120"/>
      <c r="G354" s="120"/>
    </row>
    <row r="355" spans="1:7" ht="13" x14ac:dyDescent="0.3">
      <c r="A355" s="118"/>
      <c r="C355" s="120"/>
      <c r="D355" s="120"/>
      <c r="E355" s="120"/>
      <c r="F355" s="120"/>
      <c r="G355" s="120"/>
    </row>
    <row r="356" spans="1:7" ht="13" x14ac:dyDescent="0.3">
      <c r="A356" s="118"/>
      <c r="C356" s="120"/>
      <c r="D356" s="120"/>
      <c r="E356" s="120"/>
      <c r="F356" s="120"/>
      <c r="G356" s="120"/>
    </row>
    <row r="357" spans="1:7" ht="13" x14ac:dyDescent="0.3">
      <c r="A357" s="118"/>
      <c r="C357" s="120"/>
      <c r="D357" s="120"/>
      <c r="E357" s="120"/>
      <c r="F357" s="120"/>
      <c r="G357" s="120"/>
    </row>
    <row r="358" spans="1:7" ht="13" x14ac:dyDescent="0.3">
      <c r="A358" s="118"/>
      <c r="C358" s="120"/>
      <c r="D358" s="120"/>
      <c r="E358" s="120"/>
      <c r="F358" s="120"/>
      <c r="G358" s="120"/>
    </row>
    <row r="359" spans="1:7" ht="13" x14ac:dyDescent="0.3">
      <c r="A359" s="118"/>
      <c r="C359" s="120"/>
      <c r="D359" s="120"/>
      <c r="E359" s="120"/>
      <c r="F359" s="120"/>
      <c r="G359" s="120"/>
    </row>
    <row r="360" spans="1:7" ht="13" x14ac:dyDescent="0.3">
      <c r="A360" s="118"/>
      <c r="C360" s="120"/>
      <c r="D360" s="120"/>
      <c r="E360" s="120"/>
      <c r="F360" s="120"/>
      <c r="G360" s="120"/>
    </row>
    <row r="361" spans="1:7" ht="13" x14ac:dyDescent="0.3">
      <c r="A361" s="118"/>
      <c r="C361" s="120"/>
      <c r="D361" s="120"/>
      <c r="E361" s="120"/>
      <c r="F361" s="120"/>
      <c r="G361" s="120"/>
    </row>
    <row r="362" spans="1:7" ht="13" x14ac:dyDescent="0.3">
      <c r="A362" s="118"/>
      <c r="C362" s="120"/>
      <c r="D362" s="120"/>
      <c r="E362" s="120"/>
      <c r="F362" s="120"/>
      <c r="G362" s="120"/>
    </row>
    <row r="363" spans="1:7" ht="13" x14ac:dyDescent="0.3">
      <c r="A363" s="118"/>
      <c r="C363" s="120"/>
      <c r="D363" s="120"/>
      <c r="E363" s="120"/>
      <c r="F363" s="120"/>
      <c r="G363" s="120"/>
    </row>
    <row r="364" spans="1:7" ht="13" x14ac:dyDescent="0.3">
      <c r="A364" s="118"/>
      <c r="C364" s="120"/>
      <c r="D364" s="120"/>
      <c r="E364" s="120"/>
      <c r="F364" s="120"/>
      <c r="G364" s="120"/>
    </row>
    <row r="365" spans="1:7" ht="13" x14ac:dyDescent="0.3">
      <c r="A365" s="118"/>
      <c r="C365" s="120"/>
      <c r="D365" s="120"/>
      <c r="E365" s="120"/>
      <c r="F365" s="120"/>
      <c r="G365" s="120"/>
    </row>
    <row r="366" spans="1:7" ht="13" x14ac:dyDescent="0.3">
      <c r="A366" s="118"/>
      <c r="C366" s="120"/>
      <c r="D366" s="120"/>
      <c r="E366" s="120"/>
      <c r="F366" s="120"/>
      <c r="G366" s="120"/>
    </row>
    <row r="367" spans="1:7" ht="13" x14ac:dyDescent="0.3">
      <c r="A367" s="118"/>
      <c r="C367" s="120"/>
      <c r="D367" s="120"/>
      <c r="E367" s="120"/>
      <c r="F367" s="120"/>
      <c r="G367" s="120"/>
    </row>
    <row r="368" spans="1:7" ht="13" x14ac:dyDescent="0.3">
      <c r="A368" s="118"/>
      <c r="C368" s="120"/>
      <c r="D368" s="120"/>
      <c r="E368" s="120"/>
      <c r="F368" s="120"/>
      <c r="G368" s="120"/>
    </row>
    <row r="369" spans="1:7" ht="13" x14ac:dyDescent="0.3">
      <c r="A369" s="118"/>
      <c r="C369" s="120"/>
      <c r="D369" s="120"/>
      <c r="E369" s="120"/>
      <c r="F369" s="120"/>
      <c r="G369" s="120"/>
    </row>
    <row r="370" spans="1:7" ht="13" x14ac:dyDescent="0.3">
      <c r="A370" s="118"/>
      <c r="C370" s="120"/>
      <c r="D370" s="120"/>
      <c r="E370" s="120"/>
      <c r="F370" s="120"/>
      <c r="G370" s="120"/>
    </row>
    <row r="371" spans="1:7" ht="13" x14ac:dyDescent="0.3">
      <c r="A371" s="118"/>
      <c r="C371" s="120"/>
      <c r="D371" s="120"/>
      <c r="E371" s="120"/>
      <c r="F371" s="120"/>
      <c r="G371" s="120"/>
    </row>
    <row r="372" spans="1:7" ht="13" x14ac:dyDescent="0.3">
      <c r="A372" s="118"/>
      <c r="C372" s="120"/>
      <c r="D372" s="120"/>
      <c r="E372" s="120"/>
      <c r="F372" s="120"/>
      <c r="G372" s="120"/>
    </row>
    <row r="373" spans="1:7" ht="13" x14ac:dyDescent="0.3">
      <c r="A373" s="118"/>
      <c r="C373" s="120"/>
      <c r="D373" s="120"/>
      <c r="E373" s="120"/>
      <c r="F373" s="120"/>
      <c r="G373" s="120"/>
    </row>
    <row r="374" spans="1:7" ht="13" x14ac:dyDescent="0.3">
      <c r="A374" s="118"/>
      <c r="C374" s="120"/>
      <c r="D374" s="120"/>
      <c r="E374" s="120"/>
      <c r="F374" s="120"/>
      <c r="G374" s="120"/>
    </row>
    <row r="375" spans="1:7" ht="13" x14ac:dyDescent="0.3">
      <c r="A375" s="118"/>
      <c r="C375" s="120"/>
      <c r="D375" s="120"/>
      <c r="E375" s="120"/>
      <c r="F375" s="120"/>
      <c r="G375" s="120"/>
    </row>
    <row r="376" spans="1:7" ht="13" x14ac:dyDescent="0.3">
      <c r="A376" s="118"/>
      <c r="C376" s="120"/>
      <c r="D376" s="120"/>
      <c r="E376" s="120"/>
      <c r="F376" s="120"/>
      <c r="G376" s="120"/>
    </row>
    <row r="377" spans="1:7" ht="13" x14ac:dyDescent="0.3">
      <c r="A377" s="118"/>
      <c r="C377" s="120"/>
      <c r="D377" s="120"/>
      <c r="E377" s="120"/>
      <c r="F377" s="120"/>
      <c r="G377" s="120"/>
    </row>
    <row r="378" spans="1:7" ht="13" x14ac:dyDescent="0.3">
      <c r="A378" s="118"/>
      <c r="C378" s="120"/>
      <c r="D378" s="120"/>
      <c r="E378" s="120"/>
      <c r="F378" s="120"/>
      <c r="G378" s="120"/>
    </row>
    <row r="379" spans="1:7" ht="13" x14ac:dyDescent="0.3">
      <c r="A379" s="118"/>
      <c r="C379" s="120"/>
      <c r="D379" s="120"/>
      <c r="E379" s="120"/>
      <c r="F379" s="120"/>
      <c r="G379" s="120"/>
    </row>
    <row r="380" spans="1:7" ht="13" x14ac:dyDescent="0.3">
      <c r="A380" s="118"/>
      <c r="C380" s="120"/>
      <c r="D380" s="120"/>
      <c r="E380" s="120"/>
      <c r="F380" s="120"/>
      <c r="G380" s="120"/>
    </row>
    <row r="381" spans="1:7" ht="13" x14ac:dyDescent="0.3">
      <c r="A381" s="118"/>
      <c r="C381" s="120"/>
      <c r="D381" s="120"/>
      <c r="E381" s="120"/>
      <c r="F381" s="120"/>
      <c r="G381" s="120"/>
    </row>
    <row r="382" spans="1:7" ht="13" x14ac:dyDescent="0.3">
      <c r="A382" s="118"/>
      <c r="C382" s="120"/>
      <c r="D382" s="120"/>
      <c r="E382" s="120"/>
      <c r="F382" s="120"/>
      <c r="G382" s="120"/>
    </row>
    <row r="383" spans="1:7" ht="13" x14ac:dyDescent="0.3">
      <c r="A383" s="118"/>
      <c r="C383" s="120"/>
      <c r="D383" s="120"/>
      <c r="E383" s="120"/>
      <c r="F383" s="120"/>
      <c r="G383" s="120"/>
    </row>
    <row r="384" spans="1:7" ht="13" x14ac:dyDescent="0.3">
      <c r="A384" s="118"/>
      <c r="C384" s="120"/>
      <c r="D384" s="120"/>
      <c r="E384" s="120"/>
      <c r="F384" s="120"/>
      <c r="G384" s="120"/>
    </row>
    <row r="385" spans="1:7" ht="13" x14ac:dyDescent="0.3">
      <c r="A385" s="118"/>
      <c r="C385" s="120"/>
      <c r="D385" s="120"/>
      <c r="E385" s="120"/>
      <c r="F385" s="120"/>
      <c r="G385" s="120"/>
    </row>
    <row r="386" spans="1:7" ht="13" x14ac:dyDescent="0.3">
      <c r="A386" s="118"/>
      <c r="C386" s="120"/>
      <c r="D386" s="120"/>
      <c r="E386" s="120"/>
      <c r="F386" s="120"/>
      <c r="G386" s="120"/>
    </row>
    <row r="387" spans="1:7" ht="13" x14ac:dyDescent="0.3">
      <c r="A387" s="118"/>
      <c r="C387" s="120"/>
      <c r="D387" s="120"/>
      <c r="E387" s="120"/>
      <c r="F387" s="120"/>
      <c r="G387" s="120"/>
    </row>
    <row r="388" spans="1:7" ht="13" x14ac:dyDescent="0.3">
      <c r="A388" s="118"/>
      <c r="C388" s="120"/>
      <c r="D388" s="120"/>
      <c r="E388" s="120"/>
      <c r="F388" s="120"/>
      <c r="G388" s="120"/>
    </row>
    <row r="389" spans="1:7" ht="13" x14ac:dyDescent="0.3">
      <c r="A389" s="118"/>
      <c r="C389" s="120"/>
      <c r="D389" s="120"/>
      <c r="E389" s="120"/>
      <c r="F389" s="120"/>
      <c r="G389" s="120"/>
    </row>
    <row r="390" spans="1:7" ht="13" x14ac:dyDescent="0.3">
      <c r="A390" s="118"/>
      <c r="C390" s="120"/>
      <c r="D390" s="120"/>
      <c r="E390" s="120"/>
      <c r="F390" s="120"/>
      <c r="G390" s="120"/>
    </row>
    <row r="391" spans="1:7" ht="13" x14ac:dyDescent="0.3">
      <c r="A391" s="118"/>
      <c r="C391" s="120"/>
      <c r="D391" s="120"/>
      <c r="E391" s="120"/>
      <c r="F391" s="120"/>
      <c r="G391" s="120"/>
    </row>
    <row r="392" spans="1:7" ht="13" x14ac:dyDescent="0.3">
      <c r="A392" s="118"/>
      <c r="C392" s="120"/>
      <c r="D392" s="120"/>
      <c r="E392" s="120"/>
      <c r="F392" s="120"/>
      <c r="G392" s="120"/>
    </row>
    <row r="393" spans="1:7" ht="13" x14ac:dyDescent="0.3">
      <c r="A393" s="118"/>
      <c r="C393" s="120"/>
      <c r="D393" s="120"/>
      <c r="E393" s="120"/>
      <c r="F393" s="120"/>
      <c r="G393" s="120"/>
    </row>
    <row r="394" spans="1:7" ht="13" x14ac:dyDescent="0.3">
      <c r="A394" s="118"/>
      <c r="C394" s="120"/>
      <c r="D394" s="120"/>
      <c r="E394" s="120"/>
      <c r="F394" s="120"/>
      <c r="G394" s="120"/>
    </row>
    <row r="395" spans="1:7" ht="13" x14ac:dyDescent="0.3">
      <c r="A395" s="118"/>
      <c r="C395" s="120"/>
      <c r="D395" s="120"/>
      <c r="E395" s="120"/>
      <c r="F395" s="120"/>
      <c r="G395" s="120"/>
    </row>
    <row r="396" spans="1:7" ht="13" x14ac:dyDescent="0.3">
      <c r="A396" s="118"/>
      <c r="C396" s="120"/>
      <c r="D396" s="120"/>
      <c r="E396" s="120"/>
      <c r="F396" s="120"/>
      <c r="G396" s="120"/>
    </row>
    <row r="397" spans="1:7" ht="13" x14ac:dyDescent="0.3">
      <c r="A397" s="118"/>
      <c r="C397" s="120"/>
      <c r="D397" s="120"/>
      <c r="E397" s="120"/>
      <c r="F397" s="120"/>
      <c r="G397" s="120"/>
    </row>
    <row r="398" spans="1:7" ht="13" x14ac:dyDescent="0.3">
      <c r="A398" s="118"/>
      <c r="C398" s="120"/>
      <c r="D398" s="120"/>
      <c r="E398" s="120"/>
      <c r="F398" s="120"/>
      <c r="G398" s="120"/>
    </row>
    <row r="399" spans="1:7" ht="13" x14ac:dyDescent="0.3">
      <c r="A399" s="118"/>
      <c r="C399" s="120"/>
      <c r="D399" s="120"/>
      <c r="E399" s="120"/>
      <c r="F399" s="120"/>
      <c r="G399" s="120"/>
    </row>
    <row r="400" spans="1:7" ht="13" x14ac:dyDescent="0.3">
      <c r="A400" s="118"/>
      <c r="C400" s="120"/>
      <c r="D400" s="120"/>
      <c r="E400" s="120"/>
      <c r="F400" s="120"/>
      <c r="G400" s="120"/>
    </row>
    <row r="401" spans="1:7" ht="13" x14ac:dyDescent="0.3">
      <c r="A401" s="118"/>
      <c r="C401" s="120"/>
      <c r="D401" s="120"/>
      <c r="E401" s="120"/>
      <c r="F401" s="120"/>
      <c r="G401" s="120"/>
    </row>
    <row r="402" spans="1:7" ht="13" x14ac:dyDescent="0.3">
      <c r="A402" s="118"/>
      <c r="C402" s="120"/>
      <c r="D402" s="120"/>
      <c r="E402" s="120"/>
      <c r="F402" s="120"/>
      <c r="G402" s="120"/>
    </row>
    <row r="403" spans="1:7" ht="13" x14ac:dyDescent="0.3">
      <c r="A403" s="118"/>
      <c r="C403" s="120"/>
      <c r="D403" s="120"/>
      <c r="E403" s="120"/>
      <c r="F403" s="120"/>
      <c r="G403" s="120"/>
    </row>
    <row r="404" spans="1:7" ht="13" x14ac:dyDescent="0.3">
      <c r="A404" s="118"/>
      <c r="C404" s="120"/>
      <c r="D404" s="120"/>
      <c r="E404" s="120"/>
      <c r="F404" s="120"/>
      <c r="G404" s="120"/>
    </row>
    <row r="405" spans="1:7" ht="13" x14ac:dyDescent="0.3">
      <c r="A405" s="118"/>
      <c r="C405" s="120"/>
      <c r="D405" s="120"/>
      <c r="E405" s="120"/>
      <c r="F405" s="120"/>
      <c r="G405" s="120"/>
    </row>
    <row r="406" spans="1:7" ht="13" x14ac:dyDescent="0.3">
      <c r="A406" s="118"/>
      <c r="C406" s="120"/>
      <c r="D406" s="120"/>
      <c r="E406" s="120"/>
      <c r="F406" s="120"/>
      <c r="G406" s="120"/>
    </row>
    <row r="407" spans="1:7" ht="13" x14ac:dyDescent="0.3">
      <c r="A407" s="118"/>
      <c r="C407" s="120"/>
      <c r="D407" s="120"/>
      <c r="E407" s="120"/>
      <c r="F407" s="120"/>
      <c r="G407" s="120"/>
    </row>
    <row r="408" spans="1:7" ht="13" x14ac:dyDescent="0.3">
      <c r="A408" s="118"/>
      <c r="C408" s="120"/>
      <c r="D408" s="120"/>
      <c r="E408" s="120"/>
      <c r="F408" s="120"/>
      <c r="G408" s="120"/>
    </row>
    <row r="409" spans="1:7" ht="13" x14ac:dyDescent="0.3">
      <c r="A409" s="118"/>
      <c r="C409" s="120"/>
      <c r="D409" s="120"/>
      <c r="E409" s="120"/>
      <c r="F409" s="120"/>
      <c r="G409" s="120"/>
    </row>
    <row r="410" spans="1:7" ht="13" x14ac:dyDescent="0.3">
      <c r="A410" s="118"/>
      <c r="C410" s="120"/>
      <c r="D410" s="120"/>
      <c r="E410" s="120"/>
      <c r="F410" s="120"/>
      <c r="G410" s="120"/>
    </row>
    <row r="411" spans="1:7" ht="13" x14ac:dyDescent="0.3">
      <c r="A411" s="118"/>
      <c r="C411" s="120"/>
      <c r="D411" s="120"/>
      <c r="E411" s="120"/>
      <c r="F411" s="120"/>
      <c r="G411" s="120"/>
    </row>
    <row r="412" spans="1:7" ht="13" x14ac:dyDescent="0.3">
      <c r="A412" s="118"/>
      <c r="C412" s="120"/>
      <c r="D412" s="120"/>
      <c r="E412" s="120"/>
      <c r="F412" s="120"/>
      <c r="G412" s="120"/>
    </row>
    <row r="413" spans="1:7" ht="13" x14ac:dyDescent="0.3">
      <c r="A413" s="118"/>
      <c r="C413" s="120"/>
      <c r="D413" s="120"/>
      <c r="E413" s="120"/>
      <c r="F413" s="120"/>
      <c r="G413" s="120"/>
    </row>
    <row r="414" spans="1:7" ht="13" x14ac:dyDescent="0.3">
      <c r="A414" s="118"/>
      <c r="C414" s="120"/>
      <c r="D414" s="120"/>
      <c r="E414" s="120"/>
      <c r="F414" s="120"/>
      <c r="G414" s="120"/>
    </row>
    <row r="415" spans="1:7" ht="13" x14ac:dyDescent="0.3">
      <c r="A415" s="118"/>
      <c r="C415" s="120"/>
      <c r="D415" s="120"/>
      <c r="E415" s="120"/>
      <c r="F415" s="120"/>
      <c r="G415" s="120"/>
    </row>
    <row r="416" spans="1:7" ht="13" x14ac:dyDescent="0.3">
      <c r="A416" s="118"/>
      <c r="C416" s="120"/>
      <c r="D416" s="120"/>
      <c r="E416" s="120"/>
      <c r="F416" s="120"/>
      <c r="G416" s="120"/>
    </row>
    <row r="417" spans="1:7" ht="13" x14ac:dyDescent="0.3">
      <c r="A417" s="118"/>
      <c r="C417" s="120"/>
      <c r="D417" s="120"/>
      <c r="E417" s="120"/>
      <c r="F417" s="120"/>
      <c r="G417" s="120"/>
    </row>
    <row r="418" spans="1:7" ht="13" x14ac:dyDescent="0.3">
      <c r="A418" s="118"/>
      <c r="C418" s="120"/>
      <c r="D418" s="120"/>
      <c r="E418" s="120"/>
      <c r="F418" s="120"/>
      <c r="G418" s="120"/>
    </row>
    <row r="419" spans="1:7" ht="13" x14ac:dyDescent="0.3">
      <c r="A419" s="118"/>
      <c r="C419" s="120"/>
      <c r="D419" s="120"/>
      <c r="E419" s="120"/>
      <c r="F419" s="120"/>
      <c r="G419" s="120"/>
    </row>
    <row r="420" spans="1:7" ht="13" x14ac:dyDescent="0.3">
      <c r="A420" s="118"/>
      <c r="C420" s="120"/>
      <c r="D420" s="120"/>
      <c r="E420" s="120"/>
      <c r="F420" s="120"/>
      <c r="G420" s="120"/>
    </row>
    <row r="421" spans="1:7" ht="13" x14ac:dyDescent="0.3">
      <c r="A421" s="118"/>
      <c r="C421" s="120"/>
      <c r="D421" s="120"/>
      <c r="E421" s="120"/>
      <c r="F421" s="120"/>
      <c r="G421" s="120"/>
    </row>
    <row r="422" spans="1:7" ht="13" x14ac:dyDescent="0.3">
      <c r="A422" s="118"/>
      <c r="C422" s="120"/>
      <c r="D422" s="120"/>
      <c r="E422" s="120"/>
      <c r="F422" s="120"/>
      <c r="G422" s="120"/>
    </row>
    <row r="423" spans="1:7" ht="13" x14ac:dyDescent="0.3">
      <c r="A423" s="118"/>
      <c r="C423" s="120"/>
      <c r="D423" s="120"/>
      <c r="E423" s="120"/>
      <c r="F423" s="120"/>
      <c r="G423" s="120"/>
    </row>
    <row r="424" spans="1:7" ht="13" x14ac:dyDescent="0.3">
      <c r="A424" s="118"/>
      <c r="C424" s="120"/>
      <c r="D424" s="120"/>
      <c r="E424" s="120"/>
      <c r="F424" s="120"/>
      <c r="G424" s="120"/>
    </row>
    <row r="425" spans="1:7" ht="13" x14ac:dyDescent="0.3">
      <c r="A425" s="118"/>
      <c r="C425" s="120"/>
      <c r="D425" s="120"/>
      <c r="E425" s="120"/>
      <c r="F425" s="120"/>
      <c r="G425" s="120"/>
    </row>
    <row r="426" spans="1:7" ht="13" x14ac:dyDescent="0.3">
      <c r="A426" s="118"/>
      <c r="C426" s="120"/>
      <c r="D426" s="120"/>
      <c r="E426" s="120"/>
      <c r="F426" s="120"/>
      <c r="G426" s="120"/>
    </row>
    <row r="427" spans="1:7" ht="13" x14ac:dyDescent="0.3">
      <c r="A427" s="118"/>
      <c r="C427" s="120"/>
      <c r="D427" s="120"/>
      <c r="E427" s="120"/>
      <c r="F427" s="120"/>
      <c r="G427" s="120"/>
    </row>
    <row r="428" spans="1:7" ht="13" x14ac:dyDescent="0.3">
      <c r="A428" s="118"/>
      <c r="C428" s="120"/>
      <c r="D428" s="120"/>
      <c r="E428" s="120"/>
      <c r="F428" s="120"/>
      <c r="G428" s="120"/>
    </row>
    <row r="429" spans="1:7" ht="13" x14ac:dyDescent="0.3">
      <c r="A429" s="118"/>
      <c r="C429" s="120"/>
      <c r="D429" s="120"/>
      <c r="E429" s="120"/>
      <c r="F429" s="120"/>
      <c r="G429" s="120"/>
    </row>
    <row r="430" spans="1:7" ht="13" x14ac:dyDescent="0.3">
      <c r="A430" s="118"/>
      <c r="C430" s="120"/>
      <c r="D430" s="120"/>
      <c r="E430" s="120"/>
      <c r="F430" s="120"/>
      <c r="G430" s="120"/>
    </row>
    <row r="431" spans="1:7" ht="13" x14ac:dyDescent="0.3">
      <c r="A431" s="118"/>
      <c r="C431" s="120"/>
      <c r="D431" s="120"/>
      <c r="E431" s="120"/>
      <c r="F431" s="120"/>
      <c r="G431" s="120"/>
    </row>
    <row r="432" spans="1:7" ht="13" x14ac:dyDescent="0.3">
      <c r="A432" s="118"/>
      <c r="C432" s="120"/>
      <c r="D432" s="120"/>
      <c r="E432" s="120"/>
      <c r="F432" s="120"/>
      <c r="G432" s="120"/>
    </row>
    <row r="433" spans="1:7" ht="13" x14ac:dyDescent="0.3">
      <c r="A433" s="118"/>
      <c r="C433" s="120"/>
      <c r="D433" s="120"/>
      <c r="E433" s="120"/>
      <c r="F433" s="120"/>
      <c r="G433" s="120"/>
    </row>
    <row r="434" spans="1:7" ht="13" x14ac:dyDescent="0.3">
      <c r="A434" s="118"/>
      <c r="C434" s="120"/>
      <c r="D434" s="120"/>
      <c r="E434" s="120"/>
      <c r="F434" s="120"/>
      <c r="G434" s="120"/>
    </row>
    <row r="435" spans="1:7" ht="13" x14ac:dyDescent="0.3">
      <c r="A435" s="118"/>
      <c r="C435" s="120"/>
      <c r="D435" s="120"/>
      <c r="E435" s="120"/>
      <c r="F435" s="120"/>
      <c r="G435" s="120"/>
    </row>
    <row r="436" spans="1:7" ht="13" x14ac:dyDescent="0.3">
      <c r="A436" s="118"/>
      <c r="C436" s="120"/>
      <c r="D436" s="120"/>
      <c r="E436" s="120"/>
      <c r="F436" s="120"/>
      <c r="G436" s="120"/>
    </row>
    <row r="437" spans="1:7" ht="13" x14ac:dyDescent="0.3">
      <c r="A437" s="118"/>
      <c r="C437" s="120"/>
      <c r="D437" s="120"/>
      <c r="E437" s="120"/>
      <c r="F437" s="120"/>
      <c r="G437" s="120"/>
    </row>
    <row r="438" spans="1:7" ht="13" x14ac:dyDescent="0.3">
      <c r="A438" s="118"/>
      <c r="C438" s="120"/>
      <c r="D438" s="120"/>
      <c r="E438" s="120"/>
      <c r="F438" s="120"/>
      <c r="G438" s="120"/>
    </row>
    <row r="439" spans="1:7" ht="13" x14ac:dyDescent="0.3">
      <c r="A439" s="118"/>
      <c r="C439" s="120"/>
      <c r="D439" s="120"/>
      <c r="E439" s="120"/>
      <c r="F439" s="120"/>
      <c r="G439" s="120"/>
    </row>
    <row r="440" spans="1:7" ht="13" x14ac:dyDescent="0.3">
      <c r="A440" s="118"/>
      <c r="C440" s="120"/>
      <c r="D440" s="120"/>
      <c r="E440" s="120"/>
      <c r="F440" s="120"/>
      <c r="G440" s="120"/>
    </row>
    <row r="441" spans="1:7" ht="13" x14ac:dyDescent="0.3">
      <c r="A441" s="118"/>
      <c r="C441" s="120"/>
      <c r="D441" s="120"/>
      <c r="E441" s="120"/>
      <c r="F441" s="120"/>
      <c r="G441" s="120"/>
    </row>
    <row r="442" spans="1:7" ht="13" x14ac:dyDescent="0.3">
      <c r="A442" s="118"/>
      <c r="C442" s="120"/>
      <c r="D442" s="120"/>
      <c r="E442" s="120"/>
      <c r="F442" s="120"/>
      <c r="G442" s="120"/>
    </row>
    <row r="443" spans="1:7" ht="13" x14ac:dyDescent="0.3">
      <c r="A443" s="118"/>
      <c r="C443" s="120"/>
      <c r="D443" s="120"/>
      <c r="E443" s="120"/>
      <c r="F443" s="120"/>
      <c r="G443" s="120"/>
    </row>
    <row r="444" spans="1:7" ht="13" x14ac:dyDescent="0.3">
      <c r="A444" s="118"/>
      <c r="C444" s="120"/>
      <c r="D444" s="120"/>
      <c r="E444" s="120"/>
      <c r="F444" s="120"/>
      <c r="G444" s="120"/>
    </row>
    <row r="445" spans="1:7" ht="13" x14ac:dyDescent="0.3">
      <c r="A445" s="118"/>
      <c r="C445" s="120"/>
      <c r="D445" s="120"/>
      <c r="E445" s="120"/>
      <c r="F445" s="120"/>
      <c r="G445" s="120"/>
    </row>
    <row r="446" spans="1:7" ht="13" x14ac:dyDescent="0.3">
      <c r="A446" s="118"/>
      <c r="C446" s="120"/>
      <c r="D446" s="120"/>
      <c r="E446" s="120"/>
      <c r="F446" s="120"/>
      <c r="G446" s="120"/>
    </row>
    <row r="447" spans="1:7" ht="13" x14ac:dyDescent="0.3">
      <c r="A447" s="118"/>
      <c r="C447" s="120"/>
      <c r="D447" s="120"/>
      <c r="E447" s="120"/>
      <c r="F447" s="120"/>
      <c r="G447" s="120"/>
    </row>
    <row r="448" spans="1:7" ht="13" x14ac:dyDescent="0.3">
      <c r="A448" s="118"/>
      <c r="C448" s="120"/>
      <c r="D448" s="120"/>
      <c r="E448" s="120"/>
      <c r="F448" s="120"/>
      <c r="G448" s="120"/>
    </row>
    <row r="449" spans="1:7" ht="13" x14ac:dyDescent="0.3">
      <c r="A449" s="118"/>
      <c r="C449" s="120"/>
      <c r="D449" s="120"/>
      <c r="E449" s="120"/>
      <c r="F449" s="120"/>
      <c r="G449" s="120"/>
    </row>
    <row r="450" spans="1:7" ht="13" x14ac:dyDescent="0.3">
      <c r="A450" s="118"/>
      <c r="C450" s="120"/>
      <c r="D450" s="120"/>
      <c r="E450" s="120"/>
      <c r="F450" s="120"/>
      <c r="G450" s="120"/>
    </row>
    <row r="451" spans="1:7" ht="13" x14ac:dyDescent="0.3">
      <c r="A451" s="118"/>
      <c r="C451" s="120"/>
      <c r="D451" s="120"/>
      <c r="E451" s="120"/>
      <c r="F451" s="120"/>
      <c r="G451" s="120"/>
    </row>
    <row r="452" spans="1:7" ht="13" x14ac:dyDescent="0.3">
      <c r="A452" s="118"/>
      <c r="C452" s="120"/>
      <c r="D452" s="120"/>
      <c r="E452" s="120"/>
      <c r="F452" s="120"/>
      <c r="G452" s="120"/>
    </row>
    <row r="453" spans="1:7" ht="13" x14ac:dyDescent="0.3">
      <c r="A453" s="118"/>
      <c r="C453" s="120"/>
      <c r="D453" s="120"/>
      <c r="E453" s="120"/>
      <c r="F453" s="120"/>
      <c r="G453" s="120"/>
    </row>
    <row r="454" spans="1:7" ht="13" x14ac:dyDescent="0.3">
      <c r="A454" s="118"/>
      <c r="C454" s="120"/>
      <c r="D454" s="120"/>
      <c r="E454" s="120"/>
      <c r="F454" s="120"/>
      <c r="G454" s="120"/>
    </row>
    <row r="455" spans="1:7" ht="13" x14ac:dyDescent="0.3">
      <c r="A455" s="118"/>
      <c r="C455" s="120"/>
      <c r="D455" s="120"/>
      <c r="E455" s="120"/>
      <c r="F455" s="120"/>
      <c r="G455" s="120"/>
    </row>
    <row r="456" spans="1:7" ht="13" x14ac:dyDescent="0.3">
      <c r="A456" s="118"/>
      <c r="C456" s="120"/>
      <c r="D456" s="120"/>
      <c r="E456" s="120"/>
      <c r="F456" s="120"/>
      <c r="G456" s="120"/>
    </row>
    <row r="457" spans="1:7" ht="13" x14ac:dyDescent="0.3">
      <c r="A457" s="118"/>
      <c r="C457" s="120"/>
      <c r="D457" s="120"/>
      <c r="E457" s="120"/>
      <c r="F457" s="120"/>
      <c r="G457" s="120"/>
    </row>
    <row r="458" spans="1:7" ht="13" x14ac:dyDescent="0.3">
      <c r="A458" s="118"/>
      <c r="C458" s="120"/>
      <c r="D458" s="120"/>
      <c r="E458" s="120"/>
      <c r="F458" s="120"/>
      <c r="G458" s="120"/>
    </row>
    <row r="459" spans="1:7" ht="13" x14ac:dyDescent="0.3">
      <c r="A459" s="118"/>
      <c r="C459" s="120"/>
      <c r="D459" s="120"/>
      <c r="E459" s="120"/>
      <c r="F459" s="120"/>
      <c r="G459" s="120"/>
    </row>
    <row r="460" spans="1:7" ht="13" x14ac:dyDescent="0.3">
      <c r="A460" s="118"/>
      <c r="C460" s="120"/>
      <c r="D460" s="120"/>
      <c r="E460" s="120"/>
      <c r="F460" s="120"/>
      <c r="G460" s="120"/>
    </row>
    <row r="461" spans="1:7" ht="13" x14ac:dyDescent="0.3">
      <c r="A461" s="118"/>
      <c r="C461" s="120"/>
      <c r="D461" s="120"/>
      <c r="E461" s="120"/>
      <c r="F461" s="120"/>
      <c r="G461" s="120"/>
    </row>
    <row r="462" spans="1:7" ht="13" x14ac:dyDescent="0.3">
      <c r="A462" s="118"/>
      <c r="C462" s="120"/>
      <c r="D462" s="120"/>
      <c r="E462" s="120"/>
      <c r="F462" s="120"/>
      <c r="G462" s="120"/>
    </row>
    <row r="463" spans="1:7" ht="13" x14ac:dyDescent="0.3">
      <c r="A463" s="118"/>
      <c r="C463" s="120"/>
      <c r="D463" s="120"/>
      <c r="E463" s="120"/>
      <c r="F463" s="120"/>
      <c r="G463" s="120"/>
    </row>
    <row r="464" spans="1:7" ht="13" x14ac:dyDescent="0.3">
      <c r="A464" s="118"/>
      <c r="C464" s="120"/>
      <c r="D464" s="120"/>
      <c r="E464" s="120"/>
      <c r="F464" s="120"/>
      <c r="G464" s="120"/>
    </row>
    <row r="465" spans="1:7" ht="13" x14ac:dyDescent="0.3">
      <c r="A465" s="118"/>
      <c r="C465" s="120"/>
      <c r="D465" s="120"/>
      <c r="E465" s="120"/>
      <c r="F465" s="120"/>
      <c r="G465" s="120"/>
    </row>
    <row r="466" spans="1:7" ht="13" x14ac:dyDescent="0.3">
      <c r="A466" s="118"/>
      <c r="C466" s="120"/>
      <c r="D466" s="120"/>
      <c r="E466" s="120"/>
      <c r="F466" s="120"/>
      <c r="G466" s="120"/>
    </row>
    <row r="467" spans="1:7" ht="13" x14ac:dyDescent="0.3">
      <c r="A467" s="118"/>
      <c r="C467" s="120"/>
      <c r="D467" s="120"/>
      <c r="E467" s="120"/>
      <c r="F467" s="120"/>
      <c r="G467" s="120"/>
    </row>
    <row r="468" spans="1:7" ht="13" x14ac:dyDescent="0.3">
      <c r="A468" s="118"/>
      <c r="C468" s="120"/>
      <c r="D468" s="120"/>
      <c r="E468" s="120"/>
      <c r="F468" s="120"/>
      <c r="G468" s="120"/>
    </row>
    <row r="469" spans="1:7" ht="13" x14ac:dyDescent="0.3">
      <c r="A469" s="118"/>
      <c r="C469" s="120"/>
      <c r="D469" s="120"/>
      <c r="E469" s="120"/>
      <c r="F469" s="120"/>
      <c r="G469" s="120"/>
    </row>
    <row r="470" spans="1:7" ht="13" x14ac:dyDescent="0.3">
      <c r="A470" s="118"/>
      <c r="C470" s="120"/>
      <c r="D470" s="120"/>
      <c r="E470" s="120"/>
      <c r="F470" s="120"/>
      <c r="G470" s="120"/>
    </row>
    <row r="471" spans="1:7" ht="13" x14ac:dyDescent="0.3">
      <c r="A471" s="118"/>
      <c r="C471" s="120"/>
      <c r="D471" s="120"/>
      <c r="E471" s="120"/>
      <c r="F471" s="120"/>
      <c r="G471" s="120"/>
    </row>
    <row r="472" spans="1:7" ht="13" x14ac:dyDescent="0.3">
      <c r="A472" s="118"/>
      <c r="C472" s="120"/>
      <c r="D472" s="120"/>
      <c r="E472" s="120"/>
      <c r="F472" s="120"/>
      <c r="G472" s="120"/>
    </row>
    <row r="473" spans="1:7" ht="13" x14ac:dyDescent="0.3">
      <c r="A473" s="118"/>
      <c r="C473" s="120"/>
      <c r="D473" s="120"/>
      <c r="E473" s="120"/>
      <c r="F473" s="120"/>
      <c r="G473" s="120"/>
    </row>
    <row r="474" spans="1:7" ht="13" x14ac:dyDescent="0.3">
      <c r="A474" s="118"/>
      <c r="C474" s="120"/>
      <c r="D474" s="120"/>
      <c r="E474" s="120"/>
      <c r="F474" s="120"/>
      <c r="G474" s="120"/>
    </row>
    <row r="475" spans="1:7" ht="13" x14ac:dyDescent="0.3">
      <c r="A475" s="118"/>
      <c r="C475" s="120"/>
      <c r="D475" s="120"/>
      <c r="E475" s="120"/>
      <c r="F475" s="120"/>
      <c r="G475" s="120"/>
    </row>
    <row r="476" spans="1:7" ht="13" x14ac:dyDescent="0.3">
      <c r="A476" s="118"/>
      <c r="C476" s="120"/>
      <c r="D476" s="120"/>
      <c r="E476" s="120"/>
      <c r="F476" s="120"/>
      <c r="G476" s="120"/>
    </row>
    <row r="477" spans="1:7" ht="13" x14ac:dyDescent="0.3">
      <c r="A477" s="118"/>
      <c r="C477" s="120"/>
      <c r="D477" s="120"/>
      <c r="E477" s="120"/>
      <c r="F477" s="120"/>
      <c r="G477" s="120"/>
    </row>
    <row r="478" spans="1:7" ht="13" x14ac:dyDescent="0.3">
      <c r="A478" s="118"/>
      <c r="C478" s="120"/>
      <c r="D478" s="120"/>
      <c r="E478" s="120"/>
      <c r="F478" s="120"/>
      <c r="G478" s="120"/>
    </row>
    <row r="479" spans="1:7" ht="13" x14ac:dyDescent="0.3">
      <c r="A479" s="118"/>
      <c r="C479" s="120"/>
      <c r="D479" s="120"/>
      <c r="E479" s="120"/>
      <c r="F479" s="120"/>
      <c r="G479" s="120"/>
    </row>
    <row r="480" spans="1:7" ht="13" x14ac:dyDescent="0.3">
      <c r="A480" s="118"/>
      <c r="C480" s="120"/>
      <c r="D480" s="120"/>
      <c r="E480" s="120"/>
      <c r="F480" s="120"/>
      <c r="G480" s="120"/>
    </row>
    <row r="481" spans="1:7" ht="13" x14ac:dyDescent="0.3">
      <c r="A481" s="118"/>
      <c r="C481" s="120"/>
      <c r="D481" s="120"/>
      <c r="E481" s="120"/>
      <c r="F481" s="120"/>
      <c r="G481" s="120"/>
    </row>
    <row r="482" spans="1:7" ht="13" x14ac:dyDescent="0.3">
      <c r="A482" s="118"/>
      <c r="C482" s="120"/>
      <c r="D482" s="120"/>
      <c r="E482" s="120"/>
      <c r="F482" s="120"/>
      <c r="G482" s="120"/>
    </row>
    <row r="483" spans="1:7" ht="13" x14ac:dyDescent="0.3">
      <c r="A483" s="118"/>
      <c r="C483" s="120"/>
      <c r="D483" s="120"/>
      <c r="E483" s="120"/>
      <c r="F483" s="120"/>
      <c r="G483" s="120"/>
    </row>
    <row r="484" spans="1:7" ht="13" x14ac:dyDescent="0.3">
      <c r="A484" s="118"/>
      <c r="C484" s="120"/>
      <c r="D484" s="120"/>
      <c r="E484" s="120"/>
      <c r="F484" s="120"/>
      <c r="G484" s="120"/>
    </row>
    <row r="485" spans="1:7" ht="13" x14ac:dyDescent="0.3">
      <c r="A485" s="118"/>
      <c r="C485" s="120"/>
      <c r="D485" s="120"/>
      <c r="E485" s="120"/>
      <c r="F485" s="120"/>
      <c r="G485" s="120"/>
    </row>
    <row r="486" spans="1:7" ht="13" x14ac:dyDescent="0.3">
      <c r="A486" s="118"/>
      <c r="C486" s="120"/>
      <c r="D486" s="120"/>
      <c r="E486" s="120"/>
      <c r="F486" s="120"/>
      <c r="G486" s="120"/>
    </row>
    <row r="487" spans="1:7" ht="13" x14ac:dyDescent="0.3">
      <c r="A487" s="118"/>
      <c r="C487" s="120"/>
      <c r="D487" s="120"/>
      <c r="E487" s="120"/>
      <c r="F487" s="120"/>
      <c r="G487" s="120"/>
    </row>
    <row r="488" spans="1:7" ht="13" x14ac:dyDescent="0.3">
      <c r="A488" s="118"/>
      <c r="C488" s="120"/>
      <c r="D488" s="120"/>
      <c r="E488" s="120"/>
      <c r="F488" s="120"/>
      <c r="G488" s="120"/>
    </row>
    <row r="489" spans="1:7" ht="13" x14ac:dyDescent="0.3">
      <c r="A489" s="118"/>
      <c r="C489" s="120"/>
      <c r="D489" s="120"/>
      <c r="E489" s="120"/>
      <c r="F489" s="120"/>
      <c r="G489" s="120"/>
    </row>
    <row r="490" spans="1:7" ht="13" x14ac:dyDescent="0.3">
      <c r="A490" s="118"/>
      <c r="C490" s="120"/>
      <c r="D490" s="120"/>
      <c r="E490" s="120"/>
      <c r="F490" s="120"/>
      <c r="G490" s="120"/>
    </row>
    <row r="491" spans="1:7" ht="13" x14ac:dyDescent="0.3">
      <c r="A491" s="118"/>
      <c r="C491" s="120"/>
      <c r="D491" s="120"/>
      <c r="E491" s="120"/>
      <c r="F491" s="120"/>
      <c r="G491" s="120"/>
    </row>
    <row r="492" spans="1:7" ht="13" x14ac:dyDescent="0.3">
      <c r="A492" s="118"/>
      <c r="C492" s="120"/>
      <c r="D492" s="120"/>
      <c r="E492" s="120"/>
      <c r="F492" s="120"/>
      <c r="G492" s="120"/>
    </row>
    <row r="493" spans="1:7" ht="13" x14ac:dyDescent="0.3">
      <c r="A493" s="118"/>
      <c r="C493" s="120"/>
      <c r="D493" s="120"/>
      <c r="E493" s="120"/>
      <c r="F493" s="120"/>
      <c r="G493" s="120"/>
    </row>
    <row r="494" spans="1:7" ht="13" x14ac:dyDescent="0.3">
      <c r="A494" s="118"/>
      <c r="C494" s="120"/>
      <c r="D494" s="120"/>
      <c r="E494" s="120"/>
      <c r="F494" s="120"/>
      <c r="G494" s="120"/>
    </row>
    <row r="495" spans="1:7" ht="13" x14ac:dyDescent="0.3">
      <c r="A495" s="118"/>
      <c r="C495" s="120"/>
      <c r="D495" s="120"/>
      <c r="E495" s="120"/>
      <c r="F495" s="120"/>
      <c r="G495" s="120"/>
    </row>
    <row r="496" spans="1:7" ht="13" x14ac:dyDescent="0.3">
      <c r="A496" s="118"/>
      <c r="C496" s="120"/>
      <c r="D496" s="120"/>
      <c r="E496" s="120"/>
      <c r="F496" s="120"/>
      <c r="G496" s="120"/>
    </row>
    <row r="497" spans="1:7" ht="13" x14ac:dyDescent="0.3">
      <c r="A497" s="118"/>
      <c r="C497" s="120"/>
      <c r="D497" s="120"/>
      <c r="E497" s="120"/>
      <c r="F497" s="120"/>
      <c r="G497" s="120"/>
    </row>
    <row r="498" spans="1:7" ht="13" x14ac:dyDescent="0.3">
      <c r="A498" s="118"/>
      <c r="C498" s="120"/>
      <c r="D498" s="120"/>
      <c r="E498" s="120"/>
      <c r="F498" s="120"/>
      <c r="G498" s="120"/>
    </row>
    <row r="499" spans="1:7" ht="13" x14ac:dyDescent="0.3">
      <c r="A499" s="118"/>
      <c r="C499" s="120"/>
      <c r="D499" s="120"/>
      <c r="E499" s="120"/>
      <c r="F499" s="120"/>
      <c r="G499" s="120"/>
    </row>
    <row r="500" spans="1:7" ht="13" x14ac:dyDescent="0.3">
      <c r="A500" s="118"/>
      <c r="C500" s="120"/>
      <c r="D500" s="120"/>
      <c r="E500" s="120"/>
      <c r="F500" s="120"/>
      <c r="G500" s="120"/>
    </row>
    <row r="501" spans="1:7" ht="13" x14ac:dyDescent="0.3">
      <c r="A501" s="118"/>
      <c r="C501" s="120"/>
      <c r="D501" s="120"/>
      <c r="E501" s="120"/>
      <c r="F501" s="120"/>
      <c r="G501" s="120"/>
    </row>
    <row r="502" spans="1:7" ht="13" x14ac:dyDescent="0.3">
      <c r="A502" s="118"/>
      <c r="C502" s="120"/>
      <c r="D502" s="120"/>
      <c r="E502" s="120"/>
      <c r="F502" s="120"/>
      <c r="G502" s="120"/>
    </row>
    <row r="503" spans="1:7" ht="13" x14ac:dyDescent="0.3">
      <c r="A503" s="118"/>
      <c r="C503" s="120"/>
      <c r="D503" s="120"/>
      <c r="E503" s="120"/>
      <c r="F503" s="120"/>
      <c r="G503" s="120"/>
    </row>
    <row r="504" spans="1:7" ht="13" x14ac:dyDescent="0.3">
      <c r="A504" s="118"/>
      <c r="C504" s="120"/>
      <c r="D504" s="120"/>
      <c r="E504" s="120"/>
      <c r="F504" s="120"/>
      <c r="G504" s="120"/>
    </row>
    <row r="505" spans="1:7" ht="13" x14ac:dyDescent="0.3">
      <c r="A505" s="118"/>
      <c r="C505" s="120"/>
      <c r="D505" s="120"/>
      <c r="E505" s="120"/>
      <c r="F505" s="120"/>
      <c r="G505" s="120"/>
    </row>
    <row r="506" spans="1:7" ht="13" x14ac:dyDescent="0.3">
      <c r="A506" s="118"/>
      <c r="C506" s="120"/>
      <c r="D506" s="120"/>
      <c r="E506" s="120"/>
      <c r="F506" s="120"/>
      <c r="G506" s="120"/>
    </row>
    <row r="507" spans="1:7" ht="13" x14ac:dyDescent="0.3">
      <c r="A507" s="118"/>
      <c r="C507" s="120"/>
      <c r="D507" s="120"/>
      <c r="E507" s="120"/>
      <c r="F507" s="120"/>
      <c r="G507" s="120"/>
    </row>
    <row r="508" spans="1:7" ht="13" x14ac:dyDescent="0.3">
      <c r="A508" s="118"/>
      <c r="C508" s="120"/>
      <c r="D508" s="120"/>
      <c r="E508" s="120"/>
      <c r="F508" s="120"/>
      <c r="G508" s="120"/>
    </row>
    <row r="509" spans="1:7" ht="13" x14ac:dyDescent="0.3">
      <c r="A509" s="118"/>
      <c r="C509" s="120"/>
      <c r="D509" s="120"/>
      <c r="E509" s="120"/>
      <c r="F509" s="120"/>
      <c r="G509" s="120"/>
    </row>
    <row r="510" spans="1:7" ht="13" x14ac:dyDescent="0.3">
      <c r="A510" s="118"/>
      <c r="C510" s="120"/>
      <c r="D510" s="120"/>
      <c r="E510" s="120"/>
      <c r="F510" s="120"/>
      <c r="G510" s="120"/>
    </row>
    <row r="511" spans="1:7" ht="13" x14ac:dyDescent="0.3">
      <c r="A511" s="118"/>
      <c r="C511" s="120"/>
      <c r="D511" s="120"/>
      <c r="E511" s="120"/>
      <c r="F511" s="120"/>
      <c r="G511" s="120"/>
    </row>
    <row r="512" spans="1:7" ht="13" x14ac:dyDescent="0.3">
      <c r="A512" s="118"/>
      <c r="C512" s="120"/>
      <c r="D512" s="120"/>
      <c r="E512" s="120"/>
      <c r="F512" s="120"/>
      <c r="G512" s="120"/>
    </row>
    <row r="513" spans="1:7" ht="13" x14ac:dyDescent="0.3">
      <c r="A513" s="118"/>
      <c r="C513" s="120"/>
      <c r="D513" s="120"/>
      <c r="E513" s="120"/>
      <c r="F513" s="120"/>
      <c r="G513" s="120"/>
    </row>
    <row r="514" spans="1:7" ht="13" x14ac:dyDescent="0.3">
      <c r="A514" s="118"/>
      <c r="C514" s="120"/>
      <c r="D514" s="120"/>
      <c r="E514" s="120"/>
      <c r="F514" s="120"/>
      <c r="G514" s="120"/>
    </row>
    <row r="515" spans="1:7" ht="13" x14ac:dyDescent="0.3">
      <c r="A515" s="118"/>
      <c r="C515" s="120"/>
      <c r="D515" s="120"/>
      <c r="E515" s="120"/>
      <c r="F515" s="120"/>
      <c r="G515" s="120"/>
    </row>
    <row r="516" spans="1:7" ht="13" x14ac:dyDescent="0.3">
      <c r="A516" s="118"/>
      <c r="C516" s="120"/>
      <c r="D516" s="120"/>
      <c r="E516" s="120"/>
      <c r="F516" s="120"/>
      <c r="G516" s="120"/>
    </row>
    <row r="517" spans="1:7" ht="13" x14ac:dyDescent="0.3">
      <c r="A517" s="118"/>
      <c r="C517" s="120"/>
      <c r="D517" s="120"/>
      <c r="E517" s="120"/>
      <c r="F517" s="120"/>
      <c r="G517" s="120"/>
    </row>
    <row r="518" spans="1:7" ht="13" x14ac:dyDescent="0.3">
      <c r="A518" s="118"/>
      <c r="C518" s="120"/>
      <c r="D518" s="120"/>
      <c r="E518" s="120"/>
      <c r="F518" s="120"/>
      <c r="G518" s="120"/>
    </row>
    <row r="519" spans="1:7" ht="13" x14ac:dyDescent="0.3">
      <c r="A519" s="118"/>
      <c r="C519" s="120"/>
      <c r="D519" s="120"/>
      <c r="E519" s="120"/>
      <c r="F519" s="120"/>
      <c r="G519" s="120"/>
    </row>
    <row r="520" spans="1:7" ht="13" x14ac:dyDescent="0.3">
      <c r="A520" s="118"/>
      <c r="C520" s="120"/>
      <c r="D520" s="120"/>
      <c r="E520" s="120"/>
      <c r="F520" s="120"/>
      <c r="G520" s="120"/>
    </row>
    <row r="521" spans="1:7" ht="13" x14ac:dyDescent="0.3">
      <c r="A521" s="118"/>
      <c r="C521" s="120"/>
      <c r="D521" s="120"/>
      <c r="E521" s="120"/>
      <c r="F521" s="120"/>
      <c r="G521" s="120"/>
    </row>
    <row r="522" spans="1:7" ht="13" x14ac:dyDescent="0.3">
      <c r="A522" s="118"/>
      <c r="C522" s="120"/>
      <c r="D522" s="120"/>
      <c r="E522" s="120"/>
      <c r="F522" s="120"/>
      <c r="G522" s="120"/>
    </row>
    <row r="523" spans="1:7" ht="13" x14ac:dyDescent="0.3">
      <c r="A523" s="118"/>
      <c r="C523" s="120"/>
      <c r="D523" s="120"/>
      <c r="E523" s="120"/>
      <c r="F523" s="120"/>
      <c r="G523" s="120"/>
    </row>
    <row r="524" spans="1:7" ht="13" x14ac:dyDescent="0.3">
      <c r="A524" s="118"/>
      <c r="C524" s="120"/>
      <c r="D524" s="120"/>
      <c r="E524" s="120"/>
      <c r="F524" s="120"/>
      <c r="G524" s="120"/>
    </row>
    <row r="525" spans="1:7" ht="13" x14ac:dyDescent="0.3">
      <c r="A525" s="118"/>
      <c r="C525" s="120"/>
      <c r="D525" s="120"/>
      <c r="E525" s="120"/>
      <c r="F525" s="120"/>
      <c r="G525" s="120"/>
    </row>
    <row r="526" spans="1:7" ht="13" x14ac:dyDescent="0.3">
      <c r="A526" s="118"/>
      <c r="C526" s="120"/>
      <c r="D526" s="120"/>
      <c r="E526" s="120"/>
      <c r="F526" s="120"/>
      <c r="G526" s="120"/>
    </row>
    <row r="527" spans="1:7" ht="13" x14ac:dyDescent="0.3">
      <c r="A527" s="118"/>
      <c r="C527" s="120"/>
      <c r="D527" s="120"/>
      <c r="E527" s="120"/>
      <c r="F527" s="120"/>
      <c r="G527" s="120"/>
    </row>
    <row r="528" spans="1:7" ht="13" x14ac:dyDescent="0.3">
      <c r="A528" s="118"/>
      <c r="C528" s="120"/>
      <c r="D528" s="120"/>
      <c r="E528" s="120"/>
      <c r="F528" s="120"/>
      <c r="G528" s="120"/>
    </row>
    <row r="529" spans="1:7" ht="13" x14ac:dyDescent="0.3">
      <c r="A529" s="118"/>
      <c r="C529" s="120"/>
      <c r="D529" s="120"/>
      <c r="E529" s="120"/>
      <c r="F529" s="120"/>
      <c r="G529" s="120"/>
    </row>
    <row r="530" spans="1:7" ht="13" x14ac:dyDescent="0.3">
      <c r="A530" s="118"/>
      <c r="C530" s="120"/>
      <c r="D530" s="120"/>
      <c r="E530" s="120"/>
      <c r="F530" s="120"/>
      <c r="G530" s="120"/>
    </row>
    <row r="531" spans="1:7" ht="13" x14ac:dyDescent="0.3">
      <c r="A531" s="118"/>
      <c r="C531" s="120"/>
      <c r="D531" s="120"/>
      <c r="E531" s="120"/>
      <c r="F531" s="120"/>
      <c r="G531" s="120"/>
    </row>
    <row r="532" spans="1:7" ht="13" x14ac:dyDescent="0.3">
      <c r="A532" s="118"/>
      <c r="C532" s="120"/>
      <c r="D532" s="120"/>
      <c r="E532" s="120"/>
      <c r="F532" s="120"/>
      <c r="G532" s="120"/>
    </row>
    <row r="533" spans="1:7" ht="13" x14ac:dyDescent="0.3">
      <c r="A533" s="118"/>
      <c r="C533" s="120"/>
      <c r="D533" s="120"/>
      <c r="E533" s="120"/>
      <c r="F533" s="120"/>
      <c r="G533" s="120"/>
    </row>
    <row r="534" spans="1:7" ht="13" x14ac:dyDescent="0.3">
      <c r="A534" s="118"/>
      <c r="C534" s="120"/>
      <c r="D534" s="120"/>
      <c r="E534" s="120"/>
      <c r="F534" s="120"/>
      <c r="G534" s="120"/>
    </row>
    <row r="535" spans="1:7" ht="13" x14ac:dyDescent="0.3">
      <c r="A535" s="118"/>
      <c r="C535" s="120"/>
      <c r="D535" s="120"/>
      <c r="E535" s="120"/>
      <c r="F535" s="120"/>
      <c r="G535" s="120"/>
    </row>
    <row r="536" spans="1:7" ht="13" x14ac:dyDescent="0.3">
      <c r="A536" s="118"/>
      <c r="C536" s="120"/>
      <c r="D536" s="120"/>
      <c r="E536" s="120"/>
      <c r="F536" s="120"/>
      <c r="G536" s="120"/>
    </row>
    <row r="537" spans="1:7" ht="13" x14ac:dyDescent="0.3">
      <c r="A537" s="118"/>
      <c r="C537" s="120"/>
      <c r="D537" s="120"/>
      <c r="E537" s="120"/>
      <c r="F537" s="120"/>
      <c r="G537" s="120"/>
    </row>
    <row r="538" spans="1:7" ht="13" x14ac:dyDescent="0.3">
      <c r="A538" s="118"/>
      <c r="C538" s="120"/>
      <c r="D538" s="120"/>
      <c r="E538" s="120"/>
      <c r="F538" s="120"/>
      <c r="G538" s="120"/>
    </row>
    <row r="539" spans="1:7" ht="13" x14ac:dyDescent="0.3">
      <c r="A539" s="118"/>
      <c r="C539" s="120"/>
      <c r="D539" s="120"/>
      <c r="E539" s="120"/>
      <c r="F539" s="120"/>
      <c r="G539" s="120"/>
    </row>
    <row r="540" spans="1:7" ht="13" x14ac:dyDescent="0.3">
      <c r="A540" s="118"/>
      <c r="C540" s="120"/>
      <c r="D540" s="120"/>
      <c r="E540" s="120"/>
      <c r="F540" s="120"/>
      <c r="G540" s="120"/>
    </row>
    <row r="541" spans="1:7" ht="13" x14ac:dyDescent="0.3">
      <c r="A541" s="118"/>
      <c r="C541" s="120"/>
      <c r="D541" s="120"/>
      <c r="E541" s="120"/>
      <c r="F541" s="120"/>
      <c r="G541" s="120"/>
    </row>
    <row r="542" spans="1:7" ht="13" x14ac:dyDescent="0.3">
      <c r="A542" s="118"/>
      <c r="C542" s="120"/>
      <c r="D542" s="120"/>
      <c r="E542" s="120"/>
      <c r="F542" s="120"/>
      <c r="G542" s="120"/>
    </row>
    <row r="543" spans="1:7" ht="13" x14ac:dyDescent="0.3">
      <c r="A543" s="118"/>
      <c r="C543" s="120"/>
      <c r="D543" s="120"/>
      <c r="E543" s="120"/>
      <c r="F543" s="120"/>
      <c r="G543" s="120"/>
    </row>
    <row r="544" spans="1:7" ht="13" x14ac:dyDescent="0.3">
      <c r="A544" s="118"/>
      <c r="C544" s="120"/>
      <c r="D544" s="120"/>
      <c r="E544" s="120"/>
      <c r="F544" s="120"/>
      <c r="G544" s="120"/>
    </row>
    <row r="545" spans="1:7" ht="13" x14ac:dyDescent="0.3">
      <c r="A545" s="118"/>
      <c r="C545" s="120"/>
      <c r="D545" s="120"/>
      <c r="E545" s="120"/>
      <c r="F545" s="120"/>
      <c r="G545" s="120"/>
    </row>
    <row r="546" spans="1:7" ht="13" x14ac:dyDescent="0.3">
      <c r="A546" s="118"/>
      <c r="C546" s="120"/>
      <c r="D546" s="120"/>
      <c r="E546" s="120"/>
      <c r="F546" s="120"/>
      <c r="G546" s="120"/>
    </row>
    <row r="547" spans="1:7" ht="13" x14ac:dyDescent="0.3">
      <c r="A547" s="118"/>
      <c r="C547" s="120"/>
      <c r="D547" s="120"/>
      <c r="E547" s="120"/>
      <c r="F547" s="120"/>
      <c r="G547" s="120"/>
    </row>
    <row r="548" spans="1:7" ht="13" x14ac:dyDescent="0.3">
      <c r="A548" s="118"/>
      <c r="C548" s="120"/>
      <c r="D548" s="120"/>
      <c r="E548" s="120"/>
      <c r="F548" s="120"/>
      <c r="G548" s="120"/>
    </row>
    <row r="549" spans="1:7" ht="13" x14ac:dyDescent="0.3">
      <c r="A549" s="118"/>
      <c r="C549" s="120"/>
      <c r="D549" s="120"/>
      <c r="E549" s="120"/>
      <c r="F549" s="120"/>
      <c r="G549" s="120"/>
    </row>
    <row r="550" spans="1:7" ht="13" x14ac:dyDescent="0.3">
      <c r="A550" s="118"/>
      <c r="C550" s="120"/>
      <c r="D550" s="120"/>
      <c r="E550" s="120"/>
      <c r="F550" s="120"/>
      <c r="G550" s="120"/>
    </row>
    <row r="551" spans="1:7" ht="13" x14ac:dyDescent="0.3">
      <c r="A551" s="118"/>
      <c r="C551" s="120"/>
      <c r="D551" s="120"/>
      <c r="E551" s="120"/>
      <c r="F551" s="120"/>
      <c r="G551" s="120"/>
    </row>
    <row r="552" spans="1:7" ht="13" x14ac:dyDescent="0.3">
      <c r="A552" s="118"/>
      <c r="C552" s="120"/>
      <c r="D552" s="120"/>
      <c r="E552" s="120"/>
      <c r="F552" s="120"/>
      <c r="G552" s="120"/>
    </row>
    <row r="553" spans="1:7" ht="13" x14ac:dyDescent="0.3">
      <c r="A553" s="118"/>
      <c r="C553" s="120"/>
      <c r="D553" s="120"/>
      <c r="E553" s="120"/>
      <c r="F553" s="120"/>
      <c r="G553" s="120"/>
    </row>
    <row r="554" spans="1:7" ht="13" x14ac:dyDescent="0.3">
      <c r="A554" s="118"/>
      <c r="C554" s="120"/>
      <c r="D554" s="120"/>
      <c r="E554" s="120"/>
      <c r="F554" s="120"/>
      <c r="G554" s="120"/>
    </row>
    <row r="555" spans="1:7" ht="13" x14ac:dyDescent="0.3">
      <c r="A555" s="118"/>
      <c r="C555" s="120"/>
      <c r="D555" s="120"/>
      <c r="E555" s="120"/>
      <c r="F555" s="120"/>
      <c r="G555" s="120"/>
    </row>
    <row r="556" spans="1:7" ht="13" x14ac:dyDescent="0.3">
      <c r="A556" s="118"/>
      <c r="C556" s="120"/>
      <c r="D556" s="120"/>
      <c r="E556" s="120"/>
      <c r="F556" s="120"/>
      <c r="G556" s="120"/>
    </row>
    <row r="557" spans="1:7" ht="13" x14ac:dyDescent="0.3">
      <c r="A557" s="118"/>
      <c r="C557" s="120"/>
      <c r="D557" s="120"/>
      <c r="E557" s="120"/>
      <c r="F557" s="120"/>
      <c r="G557" s="120"/>
    </row>
    <row r="558" spans="1:7" ht="13" x14ac:dyDescent="0.3">
      <c r="A558" s="118"/>
      <c r="C558" s="120"/>
      <c r="D558" s="120"/>
      <c r="E558" s="120"/>
      <c r="F558" s="120"/>
      <c r="G558" s="120"/>
    </row>
    <row r="559" spans="1:7" ht="13" x14ac:dyDescent="0.3">
      <c r="A559" s="118"/>
      <c r="C559" s="120"/>
      <c r="D559" s="120"/>
      <c r="E559" s="120"/>
      <c r="F559" s="120"/>
      <c r="G559" s="120"/>
    </row>
    <row r="560" spans="1:7" ht="13" x14ac:dyDescent="0.3">
      <c r="A560" s="118"/>
      <c r="C560" s="120"/>
      <c r="D560" s="120"/>
      <c r="E560" s="120"/>
      <c r="F560" s="120"/>
      <c r="G560" s="120"/>
    </row>
    <row r="561" spans="1:7" ht="13" x14ac:dyDescent="0.3">
      <c r="A561" s="118"/>
      <c r="C561" s="120"/>
      <c r="D561" s="120"/>
      <c r="E561" s="120"/>
      <c r="F561" s="120"/>
      <c r="G561" s="120"/>
    </row>
    <row r="562" spans="1:7" ht="13" x14ac:dyDescent="0.3">
      <c r="A562" s="118"/>
      <c r="C562" s="120"/>
      <c r="D562" s="120"/>
      <c r="E562" s="120"/>
      <c r="F562" s="120"/>
      <c r="G562" s="120"/>
    </row>
    <row r="563" spans="1:7" ht="13" x14ac:dyDescent="0.3">
      <c r="A563" s="118"/>
      <c r="C563" s="120"/>
      <c r="D563" s="120"/>
      <c r="E563" s="120"/>
      <c r="F563" s="120"/>
      <c r="G563" s="120"/>
    </row>
    <row r="564" spans="1:7" ht="13" x14ac:dyDescent="0.3">
      <c r="A564" s="118"/>
      <c r="C564" s="120"/>
      <c r="D564" s="120"/>
      <c r="E564" s="120"/>
      <c r="F564" s="120"/>
      <c r="G564" s="120"/>
    </row>
    <row r="565" spans="1:7" ht="13" x14ac:dyDescent="0.3">
      <c r="A565" s="118"/>
      <c r="C565" s="120"/>
      <c r="D565" s="120"/>
      <c r="E565" s="120"/>
      <c r="F565" s="120"/>
      <c r="G565" s="120"/>
    </row>
    <row r="566" spans="1:7" ht="13" x14ac:dyDescent="0.3">
      <c r="A566" s="118"/>
      <c r="C566" s="120"/>
      <c r="D566" s="120"/>
      <c r="E566" s="120"/>
      <c r="F566" s="120"/>
      <c r="G566" s="120"/>
    </row>
    <row r="567" spans="1:7" ht="13" x14ac:dyDescent="0.3">
      <c r="A567" s="118"/>
      <c r="C567" s="120"/>
      <c r="D567" s="120"/>
      <c r="E567" s="120"/>
      <c r="F567" s="120"/>
      <c r="G567" s="120"/>
    </row>
    <row r="568" spans="1:7" ht="13" x14ac:dyDescent="0.3">
      <c r="A568" s="118"/>
      <c r="C568" s="120"/>
      <c r="D568" s="120"/>
      <c r="E568" s="120"/>
      <c r="F568" s="120"/>
      <c r="G568" s="120"/>
    </row>
    <row r="569" spans="1:7" ht="13" x14ac:dyDescent="0.3">
      <c r="A569" s="118"/>
      <c r="C569" s="120"/>
      <c r="D569" s="120"/>
      <c r="E569" s="120"/>
      <c r="F569" s="120"/>
      <c r="G569" s="120"/>
    </row>
    <row r="570" spans="1:7" ht="13" x14ac:dyDescent="0.3">
      <c r="A570" s="118"/>
      <c r="C570" s="120"/>
      <c r="D570" s="120"/>
      <c r="E570" s="120"/>
      <c r="F570" s="120"/>
      <c r="G570" s="120"/>
    </row>
    <row r="571" spans="1:7" ht="13" x14ac:dyDescent="0.3">
      <c r="A571" s="118"/>
      <c r="C571" s="120"/>
      <c r="D571" s="120"/>
      <c r="E571" s="120"/>
      <c r="F571" s="120"/>
      <c r="G571" s="120"/>
    </row>
    <row r="572" spans="1:7" ht="13" x14ac:dyDescent="0.3">
      <c r="A572" s="118"/>
      <c r="C572" s="120"/>
      <c r="D572" s="120"/>
      <c r="E572" s="120"/>
      <c r="F572" s="120"/>
      <c r="G572" s="120"/>
    </row>
    <row r="573" spans="1:7" ht="13" x14ac:dyDescent="0.3">
      <c r="A573" s="118"/>
      <c r="C573" s="120"/>
      <c r="D573" s="120"/>
      <c r="E573" s="120"/>
      <c r="F573" s="120"/>
      <c r="G573" s="120"/>
    </row>
    <row r="574" spans="1:7" ht="13" x14ac:dyDescent="0.3">
      <c r="A574" s="118"/>
      <c r="C574" s="120"/>
      <c r="D574" s="120"/>
      <c r="E574" s="120"/>
      <c r="F574" s="120"/>
      <c r="G574" s="120"/>
    </row>
    <row r="575" spans="1:7" ht="13" x14ac:dyDescent="0.3">
      <c r="A575" s="118"/>
      <c r="C575" s="120"/>
      <c r="D575" s="120"/>
      <c r="E575" s="120"/>
      <c r="F575" s="120"/>
      <c r="G575" s="120"/>
    </row>
    <row r="576" spans="1:7" ht="13" x14ac:dyDescent="0.3">
      <c r="A576" s="118"/>
      <c r="C576" s="120"/>
      <c r="D576" s="120"/>
      <c r="E576" s="120"/>
      <c r="F576" s="120"/>
      <c r="G576" s="120"/>
    </row>
    <row r="577" spans="1:7" ht="13" x14ac:dyDescent="0.3">
      <c r="A577" s="118"/>
      <c r="C577" s="120"/>
      <c r="D577" s="120"/>
      <c r="E577" s="120"/>
      <c r="F577" s="120"/>
      <c r="G577" s="120"/>
    </row>
    <row r="578" spans="1:7" ht="13" x14ac:dyDescent="0.3">
      <c r="A578" s="118"/>
      <c r="C578" s="120"/>
      <c r="D578" s="120"/>
      <c r="E578" s="120"/>
      <c r="F578" s="120"/>
      <c r="G578" s="120"/>
    </row>
    <row r="579" spans="1:7" ht="13" x14ac:dyDescent="0.3">
      <c r="A579" s="118"/>
      <c r="C579" s="120"/>
      <c r="D579" s="120"/>
      <c r="E579" s="120"/>
      <c r="F579" s="120"/>
      <c r="G579" s="120"/>
    </row>
    <row r="580" spans="1:7" ht="13" x14ac:dyDescent="0.3">
      <c r="A580" s="118"/>
      <c r="C580" s="120"/>
      <c r="D580" s="120"/>
      <c r="E580" s="120"/>
      <c r="F580" s="120"/>
      <c r="G580" s="120"/>
    </row>
    <row r="581" spans="1:7" ht="13" x14ac:dyDescent="0.3">
      <c r="A581" s="118"/>
      <c r="C581" s="120"/>
      <c r="D581" s="120"/>
      <c r="E581" s="120"/>
      <c r="F581" s="120"/>
      <c r="G581" s="120"/>
    </row>
    <row r="582" spans="1:7" ht="13" x14ac:dyDescent="0.3">
      <c r="A582" s="118"/>
      <c r="C582" s="120"/>
      <c r="D582" s="120"/>
      <c r="E582" s="120"/>
      <c r="F582" s="120"/>
      <c r="G582" s="120"/>
    </row>
    <row r="583" spans="1:7" ht="13" x14ac:dyDescent="0.3">
      <c r="A583" s="118"/>
      <c r="C583" s="120"/>
      <c r="D583" s="120"/>
      <c r="E583" s="120"/>
      <c r="F583" s="120"/>
      <c r="G583" s="120"/>
    </row>
    <row r="584" spans="1:7" ht="13" x14ac:dyDescent="0.3">
      <c r="A584" s="118"/>
      <c r="C584" s="120"/>
      <c r="D584" s="120"/>
      <c r="E584" s="120"/>
      <c r="F584" s="120"/>
      <c r="G584" s="120"/>
    </row>
    <row r="585" spans="1:7" ht="13" x14ac:dyDescent="0.3">
      <c r="A585" s="118"/>
      <c r="C585" s="120"/>
      <c r="D585" s="120"/>
      <c r="E585" s="120"/>
      <c r="F585" s="120"/>
      <c r="G585" s="120"/>
    </row>
    <row r="586" spans="1:7" ht="13" x14ac:dyDescent="0.3">
      <c r="A586" s="118"/>
      <c r="C586" s="120"/>
      <c r="D586" s="120"/>
      <c r="E586" s="120"/>
      <c r="F586" s="120"/>
      <c r="G586" s="120"/>
    </row>
    <row r="587" spans="1:7" ht="13" x14ac:dyDescent="0.3">
      <c r="A587" s="118"/>
      <c r="C587" s="120"/>
      <c r="D587" s="120"/>
      <c r="E587" s="120"/>
      <c r="F587" s="120"/>
      <c r="G587" s="120"/>
    </row>
    <row r="588" spans="1:7" ht="13" x14ac:dyDescent="0.3">
      <c r="A588" s="118"/>
      <c r="C588" s="120"/>
      <c r="D588" s="120"/>
      <c r="E588" s="120"/>
      <c r="F588" s="120"/>
      <c r="G588" s="120"/>
    </row>
    <row r="589" spans="1:7" ht="13" x14ac:dyDescent="0.3">
      <c r="A589" s="118"/>
      <c r="C589" s="120"/>
      <c r="D589" s="120"/>
      <c r="E589" s="120"/>
      <c r="F589" s="120"/>
      <c r="G589" s="120"/>
    </row>
    <row r="590" spans="1:7" ht="13" x14ac:dyDescent="0.3">
      <c r="A590" s="118"/>
      <c r="C590" s="120"/>
      <c r="D590" s="120"/>
      <c r="E590" s="120"/>
      <c r="F590" s="120"/>
      <c r="G590" s="120"/>
    </row>
    <row r="591" spans="1:7" ht="13" x14ac:dyDescent="0.3">
      <c r="A591" s="118"/>
      <c r="C591" s="120"/>
      <c r="D591" s="120"/>
      <c r="E591" s="120"/>
      <c r="F591" s="120"/>
      <c r="G591" s="120"/>
    </row>
    <row r="592" spans="1:7" ht="13" x14ac:dyDescent="0.3">
      <c r="A592" s="118"/>
      <c r="C592" s="120"/>
      <c r="D592" s="120"/>
      <c r="E592" s="120"/>
      <c r="F592" s="120"/>
      <c r="G592" s="120"/>
    </row>
    <row r="593" spans="1:7" ht="13" x14ac:dyDescent="0.3">
      <c r="A593" s="118"/>
      <c r="C593" s="120"/>
      <c r="D593" s="120"/>
      <c r="E593" s="120"/>
      <c r="F593" s="120"/>
      <c r="G593" s="120"/>
    </row>
    <row r="594" spans="1:7" ht="13" x14ac:dyDescent="0.3">
      <c r="A594" s="118"/>
      <c r="C594" s="120"/>
      <c r="D594" s="120"/>
      <c r="E594" s="120"/>
      <c r="F594" s="120"/>
      <c r="G594" s="120"/>
    </row>
    <row r="595" spans="1:7" ht="13" x14ac:dyDescent="0.3">
      <c r="A595" s="118"/>
      <c r="C595" s="120"/>
      <c r="D595" s="120"/>
      <c r="E595" s="120"/>
      <c r="F595" s="120"/>
      <c r="G595" s="120"/>
    </row>
    <row r="596" spans="1:7" ht="13" x14ac:dyDescent="0.3">
      <c r="A596" s="118"/>
      <c r="C596" s="120"/>
      <c r="D596" s="120"/>
      <c r="E596" s="120"/>
      <c r="F596" s="120"/>
      <c r="G596" s="120"/>
    </row>
    <row r="597" spans="1:7" ht="13" x14ac:dyDescent="0.3">
      <c r="A597" s="118"/>
      <c r="C597" s="120"/>
      <c r="D597" s="120"/>
      <c r="E597" s="120"/>
      <c r="F597" s="120"/>
      <c r="G597" s="120"/>
    </row>
    <row r="598" spans="1:7" ht="13" x14ac:dyDescent="0.3">
      <c r="A598" s="118"/>
      <c r="C598" s="120"/>
      <c r="D598" s="120"/>
      <c r="E598" s="120"/>
      <c r="F598" s="120"/>
      <c r="G598" s="120"/>
    </row>
    <row r="599" spans="1:7" ht="13" x14ac:dyDescent="0.3">
      <c r="A599" s="118"/>
      <c r="C599" s="120"/>
      <c r="D599" s="120"/>
      <c r="E599" s="120"/>
      <c r="F599" s="120"/>
      <c r="G599" s="120"/>
    </row>
    <row r="600" spans="1:7" ht="13" x14ac:dyDescent="0.3">
      <c r="A600" s="118"/>
      <c r="C600" s="120"/>
      <c r="D600" s="120"/>
      <c r="E600" s="120"/>
      <c r="F600" s="120"/>
      <c r="G600" s="120"/>
    </row>
    <row r="601" spans="1:7" ht="13" x14ac:dyDescent="0.3">
      <c r="A601" s="118"/>
      <c r="C601" s="120"/>
      <c r="D601" s="120"/>
      <c r="E601" s="120"/>
      <c r="F601" s="120"/>
      <c r="G601" s="120"/>
    </row>
    <row r="602" spans="1:7" ht="13" x14ac:dyDescent="0.3">
      <c r="A602" s="118"/>
      <c r="C602" s="120"/>
      <c r="D602" s="120"/>
      <c r="E602" s="120"/>
      <c r="F602" s="120"/>
      <c r="G602" s="120"/>
    </row>
    <row r="603" spans="1:7" ht="13" x14ac:dyDescent="0.3">
      <c r="A603" s="118"/>
      <c r="C603" s="120"/>
      <c r="D603" s="120"/>
      <c r="E603" s="120"/>
      <c r="F603" s="120"/>
      <c r="G603" s="120"/>
    </row>
    <row r="604" spans="1:7" ht="13" x14ac:dyDescent="0.3">
      <c r="A604" s="118"/>
      <c r="C604" s="120"/>
      <c r="D604" s="120"/>
      <c r="E604" s="120"/>
      <c r="F604" s="120"/>
      <c r="G604" s="120"/>
    </row>
    <row r="605" spans="1:7" ht="13" x14ac:dyDescent="0.3">
      <c r="A605" s="118"/>
      <c r="C605" s="120"/>
      <c r="D605" s="120"/>
      <c r="E605" s="120"/>
      <c r="F605" s="120"/>
      <c r="G605" s="120"/>
    </row>
    <row r="606" spans="1:7" ht="13" x14ac:dyDescent="0.3">
      <c r="A606" s="118"/>
      <c r="C606" s="120"/>
      <c r="D606" s="120"/>
      <c r="E606" s="120"/>
      <c r="F606" s="120"/>
      <c r="G606" s="120"/>
    </row>
    <row r="607" spans="1:7" ht="13" x14ac:dyDescent="0.3">
      <c r="A607" s="118"/>
      <c r="C607" s="120"/>
      <c r="D607" s="120"/>
      <c r="E607" s="120"/>
      <c r="F607" s="120"/>
      <c r="G607" s="120"/>
    </row>
    <row r="608" spans="1:7" ht="13" x14ac:dyDescent="0.3">
      <c r="A608" s="118"/>
      <c r="C608" s="120"/>
      <c r="D608" s="120"/>
      <c r="E608" s="120"/>
      <c r="F608" s="120"/>
      <c r="G608" s="120"/>
    </row>
    <row r="609" spans="1:7" ht="13" x14ac:dyDescent="0.3">
      <c r="A609" s="118"/>
      <c r="C609" s="120"/>
      <c r="D609" s="120"/>
      <c r="E609" s="120"/>
      <c r="F609" s="120"/>
      <c r="G609" s="120"/>
    </row>
    <row r="610" spans="1:7" ht="13" x14ac:dyDescent="0.3">
      <c r="A610" s="118"/>
      <c r="C610" s="120"/>
      <c r="D610" s="120"/>
      <c r="E610" s="120"/>
      <c r="F610" s="120"/>
      <c r="G610" s="120"/>
    </row>
    <row r="611" spans="1:7" ht="13" x14ac:dyDescent="0.3">
      <c r="A611" s="118"/>
      <c r="C611" s="120"/>
      <c r="D611" s="120"/>
      <c r="E611" s="120"/>
      <c r="F611" s="120"/>
      <c r="G611" s="120"/>
    </row>
    <row r="612" spans="1:7" ht="13" x14ac:dyDescent="0.3">
      <c r="A612" s="118"/>
      <c r="C612" s="120"/>
      <c r="D612" s="120"/>
      <c r="E612" s="120"/>
      <c r="F612" s="120"/>
      <c r="G612" s="120"/>
    </row>
    <row r="613" spans="1:7" ht="13" x14ac:dyDescent="0.3">
      <c r="A613" s="118"/>
      <c r="C613" s="120"/>
      <c r="D613" s="120"/>
      <c r="E613" s="120"/>
      <c r="F613" s="120"/>
      <c r="G613" s="120"/>
    </row>
    <row r="614" spans="1:7" ht="13" x14ac:dyDescent="0.3">
      <c r="A614" s="118"/>
      <c r="C614" s="120"/>
      <c r="D614" s="120"/>
      <c r="E614" s="120"/>
      <c r="F614" s="120"/>
      <c r="G614" s="120"/>
    </row>
    <row r="615" spans="1:7" ht="13" x14ac:dyDescent="0.3">
      <c r="A615" s="118"/>
      <c r="C615" s="120"/>
      <c r="D615" s="120"/>
      <c r="E615" s="120"/>
      <c r="F615" s="120"/>
      <c r="G615" s="120"/>
    </row>
    <row r="616" spans="1:7" ht="13" x14ac:dyDescent="0.3">
      <c r="A616" s="118"/>
      <c r="C616" s="120"/>
      <c r="D616" s="120"/>
      <c r="E616" s="120"/>
      <c r="F616" s="120"/>
      <c r="G616" s="120"/>
    </row>
    <row r="617" spans="1:7" ht="13" x14ac:dyDescent="0.3">
      <c r="A617" s="118"/>
      <c r="C617" s="120"/>
      <c r="D617" s="120"/>
      <c r="E617" s="120"/>
      <c r="F617" s="120"/>
      <c r="G617" s="120"/>
    </row>
    <row r="618" spans="1:7" ht="13" x14ac:dyDescent="0.3">
      <c r="A618" s="118"/>
      <c r="C618" s="120"/>
      <c r="D618" s="120"/>
      <c r="E618" s="120"/>
      <c r="F618" s="120"/>
      <c r="G618" s="120"/>
    </row>
    <row r="619" spans="1:7" ht="13" x14ac:dyDescent="0.3">
      <c r="A619" s="118"/>
      <c r="C619" s="120"/>
      <c r="D619" s="120"/>
      <c r="E619" s="120"/>
      <c r="F619" s="120"/>
      <c r="G619" s="120"/>
    </row>
    <row r="620" spans="1:7" ht="13" x14ac:dyDescent="0.3">
      <c r="A620" s="118"/>
      <c r="C620" s="120"/>
      <c r="D620" s="120"/>
      <c r="E620" s="120"/>
      <c r="F620" s="120"/>
      <c r="G620" s="120"/>
    </row>
    <row r="621" spans="1:7" ht="13" x14ac:dyDescent="0.3">
      <c r="A621" s="118"/>
      <c r="C621" s="120"/>
      <c r="D621" s="120"/>
      <c r="E621" s="120"/>
      <c r="F621" s="120"/>
      <c r="G621" s="120"/>
    </row>
    <row r="622" spans="1:7" ht="13" x14ac:dyDescent="0.3">
      <c r="A622" s="118"/>
      <c r="C622" s="120"/>
      <c r="D622" s="120"/>
      <c r="E622" s="120"/>
      <c r="F622" s="120"/>
      <c r="G622" s="120"/>
    </row>
    <row r="623" spans="1:7" ht="13" x14ac:dyDescent="0.3">
      <c r="A623" s="118"/>
      <c r="C623" s="120"/>
      <c r="D623" s="120"/>
      <c r="E623" s="120"/>
      <c r="F623" s="120"/>
      <c r="G623" s="120"/>
    </row>
    <row r="624" spans="1:7" ht="13" x14ac:dyDescent="0.3">
      <c r="A624" s="118"/>
      <c r="C624" s="120"/>
      <c r="D624" s="120"/>
      <c r="E624" s="120"/>
      <c r="F624" s="120"/>
      <c r="G624" s="120"/>
    </row>
    <row r="625" spans="1:7" ht="13" x14ac:dyDescent="0.3">
      <c r="A625" s="118"/>
      <c r="C625" s="120"/>
      <c r="D625" s="120"/>
      <c r="E625" s="120"/>
      <c r="F625" s="120"/>
      <c r="G625" s="120"/>
    </row>
    <row r="626" spans="1:7" ht="13" x14ac:dyDescent="0.3">
      <c r="A626" s="118"/>
      <c r="C626" s="120"/>
      <c r="D626" s="120"/>
      <c r="E626" s="120"/>
      <c r="F626" s="120"/>
      <c r="G626" s="120"/>
    </row>
    <row r="627" spans="1:7" ht="13" x14ac:dyDescent="0.3">
      <c r="A627" s="118"/>
      <c r="C627" s="120"/>
      <c r="D627" s="120"/>
      <c r="E627" s="120"/>
      <c r="F627" s="120"/>
      <c r="G627" s="120"/>
    </row>
    <row r="628" spans="1:7" ht="13" x14ac:dyDescent="0.3">
      <c r="A628" s="118"/>
      <c r="C628" s="120"/>
      <c r="D628" s="120"/>
      <c r="E628" s="120"/>
      <c r="F628" s="120"/>
      <c r="G628" s="120"/>
    </row>
    <row r="629" spans="1:7" ht="13" x14ac:dyDescent="0.3">
      <c r="A629" s="118"/>
      <c r="C629" s="120"/>
      <c r="D629" s="120"/>
      <c r="E629" s="120"/>
      <c r="F629" s="120"/>
      <c r="G629" s="120"/>
    </row>
    <row r="630" spans="1:7" ht="13" x14ac:dyDescent="0.3">
      <c r="A630" s="118"/>
      <c r="C630" s="120"/>
      <c r="D630" s="120"/>
      <c r="E630" s="120"/>
      <c r="F630" s="120"/>
      <c r="G630" s="120"/>
    </row>
    <row r="631" spans="1:7" ht="13" x14ac:dyDescent="0.3">
      <c r="A631" s="118"/>
      <c r="C631" s="120"/>
      <c r="D631" s="120"/>
      <c r="E631" s="120"/>
      <c r="F631" s="120"/>
      <c r="G631" s="120"/>
    </row>
    <row r="632" spans="1:7" ht="13" x14ac:dyDescent="0.3">
      <c r="A632" s="118"/>
      <c r="C632" s="120"/>
      <c r="D632" s="120"/>
      <c r="E632" s="120"/>
      <c r="F632" s="120"/>
      <c r="G632" s="120"/>
    </row>
    <row r="633" spans="1:7" ht="13" x14ac:dyDescent="0.3">
      <c r="A633" s="118"/>
      <c r="C633" s="120"/>
      <c r="D633" s="120"/>
      <c r="E633" s="120"/>
      <c r="F633" s="120"/>
      <c r="G633" s="120"/>
    </row>
    <row r="634" spans="1:7" ht="13" x14ac:dyDescent="0.3">
      <c r="A634" s="118"/>
      <c r="C634" s="120"/>
      <c r="D634" s="120"/>
      <c r="E634" s="120"/>
      <c r="F634" s="120"/>
      <c r="G634" s="120"/>
    </row>
    <row r="635" spans="1:7" ht="13" x14ac:dyDescent="0.3">
      <c r="A635" s="118"/>
      <c r="C635" s="120"/>
      <c r="D635" s="120"/>
      <c r="E635" s="120"/>
      <c r="F635" s="120"/>
      <c r="G635" s="120"/>
    </row>
    <row r="636" spans="1:7" ht="13" x14ac:dyDescent="0.3">
      <c r="A636" s="118"/>
      <c r="C636" s="120"/>
      <c r="D636" s="120"/>
      <c r="E636" s="120"/>
      <c r="F636" s="120"/>
      <c r="G636" s="120"/>
    </row>
    <row r="637" spans="1:7" ht="13" x14ac:dyDescent="0.3">
      <c r="A637" s="118"/>
      <c r="C637" s="120"/>
      <c r="D637" s="120"/>
      <c r="E637" s="120"/>
      <c r="F637" s="120"/>
      <c r="G637" s="120"/>
    </row>
    <row r="638" spans="1:7" ht="13" x14ac:dyDescent="0.3">
      <c r="A638" s="118"/>
      <c r="C638" s="120"/>
      <c r="D638" s="120"/>
      <c r="E638" s="120"/>
      <c r="F638" s="120"/>
      <c r="G638" s="120"/>
    </row>
    <row r="639" spans="1:7" ht="13" x14ac:dyDescent="0.3">
      <c r="A639" s="118"/>
      <c r="C639" s="120"/>
      <c r="D639" s="120"/>
      <c r="E639" s="120"/>
      <c r="F639" s="120"/>
      <c r="G639" s="120"/>
    </row>
    <row r="640" spans="1:7" ht="13" x14ac:dyDescent="0.3">
      <c r="A640" s="118"/>
      <c r="C640" s="120"/>
      <c r="D640" s="120"/>
      <c r="E640" s="120"/>
      <c r="F640" s="120"/>
      <c r="G640" s="120"/>
    </row>
    <row r="641" spans="1:7" ht="13" x14ac:dyDescent="0.3">
      <c r="A641" s="118"/>
      <c r="C641" s="120"/>
      <c r="D641" s="120"/>
      <c r="E641" s="120"/>
      <c r="F641" s="120"/>
      <c r="G641" s="120"/>
    </row>
    <row r="642" spans="1:7" ht="13" x14ac:dyDescent="0.3">
      <c r="A642" s="118"/>
      <c r="C642" s="120"/>
      <c r="D642" s="120"/>
      <c r="E642" s="120"/>
      <c r="F642" s="120"/>
      <c r="G642" s="120"/>
    </row>
    <row r="643" spans="1:7" ht="13" x14ac:dyDescent="0.3">
      <c r="A643" s="118"/>
      <c r="C643" s="120"/>
      <c r="D643" s="120"/>
      <c r="E643" s="120"/>
      <c r="F643" s="120"/>
      <c r="G643" s="120"/>
    </row>
    <row r="644" spans="1:7" ht="13" x14ac:dyDescent="0.3">
      <c r="A644" s="118"/>
      <c r="C644" s="120"/>
      <c r="D644" s="120"/>
      <c r="E644" s="120"/>
      <c r="F644" s="120"/>
      <c r="G644" s="120"/>
    </row>
    <row r="645" spans="1:7" ht="13" x14ac:dyDescent="0.3">
      <c r="A645" s="118"/>
      <c r="C645" s="120"/>
      <c r="D645" s="120"/>
      <c r="E645" s="120"/>
      <c r="F645" s="120"/>
      <c r="G645" s="120"/>
    </row>
    <row r="646" spans="1:7" ht="13" x14ac:dyDescent="0.3">
      <c r="A646" s="118"/>
      <c r="C646" s="120"/>
      <c r="D646" s="120"/>
      <c r="E646" s="120"/>
      <c r="F646" s="120"/>
      <c r="G646" s="120"/>
    </row>
    <row r="647" spans="1:7" ht="13" x14ac:dyDescent="0.3">
      <c r="A647" s="118"/>
      <c r="C647" s="120"/>
      <c r="D647" s="120"/>
      <c r="E647" s="120"/>
      <c r="F647" s="120"/>
      <c r="G647" s="120"/>
    </row>
    <row r="648" spans="1:7" ht="13" x14ac:dyDescent="0.3">
      <c r="A648" s="118"/>
      <c r="C648" s="120"/>
      <c r="D648" s="120"/>
      <c r="E648" s="120"/>
      <c r="F648" s="120"/>
      <c r="G648" s="120"/>
    </row>
    <row r="649" spans="1:7" ht="13" x14ac:dyDescent="0.3">
      <c r="A649" s="118"/>
      <c r="C649" s="120"/>
      <c r="D649" s="120"/>
      <c r="E649" s="120"/>
      <c r="F649" s="120"/>
      <c r="G649" s="120"/>
    </row>
    <row r="650" spans="1:7" ht="13" x14ac:dyDescent="0.3">
      <c r="A650" s="118"/>
      <c r="C650" s="120"/>
      <c r="D650" s="120"/>
      <c r="E650" s="120"/>
      <c r="F650" s="120"/>
      <c r="G650" s="120"/>
    </row>
    <row r="651" spans="1:7" ht="13" x14ac:dyDescent="0.3">
      <c r="A651" s="118"/>
      <c r="C651" s="120"/>
      <c r="D651" s="120"/>
      <c r="E651" s="120"/>
      <c r="F651" s="120"/>
      <c r="G651" s="120"/>
    </row>
    <row r="652" spans="1:7" ht="13" x14ac:dyDescent="0.3">
      <c r="A652" s="118"/>
      <c r="C652" s="120"/>
      <c r="D652" s="120"/>
      <c r="E652" s="120"/>
      <c r="F652" s="120"/>
      <c r="G652" s="120"/>
    </row>
    <row r="653" spans="1:7" ht="13" x14ac:dyDescent="0.3">
      <c r="A653" s="118"/>
      <c r="C653" s="120"/>
      <c r="D653" s="120"/>
      <c r="E653" s="120"/>
      <c r="F653" s="120"/>
      <c r="G653" s="120"/>
    </row>
    <row r="654" spans="1:7" ht="13" x14ac:dyDescent="0.3">
      <c r="A654" s="118"/>
      <c r="C654" s="120"/>
      <c r="D654" s="120"/>
      <c r="E654" s="120"/>
      <c r="F654" s="120"/>
      <c r="G654" s="120"/>
    </row>
    <row r="655" spans="1:7" ht="13" x14ac:dyDescent="0.3">
      <c r="A655" s="118"/>
      <c r="C655" s="120"/>
      <c r="D655" s="120"/>
      <c r="E655" s="120"/>
      <c r="F655" s="120"/>
      <c r="G655" s="120"/>
    </row>
    <row r="656" spans="1:7" ht="13" x14ac:dyDescent="0.3">
      <c r="A656" s="118"/>
      <c r="C656" s="120"/>
      <c r="D656" s="120"/>
      <c r="E656" s="120"/>
      <c r="F656" s="120"/>
      <c r="G656" s="120"/>
    </row>
    <row r="657" spans="1:7" ht="13" x14ac:dyDescent="0.3">
      <c r="A657" s="118"/>
      <c r="C657" s="120"/>
      <c r="D657" s="120"/>
      <c r="E657" s="120"/>
      <c r="F657" s="120"/>
      <c r="G657" s="120"/>
    </row>
    <row r="658" spans="1:7" ht="13" x14ac:dyDescent="0.3">
      <c r="A658" s="118"/>
      <c r="C658" s="120"/>
      <c r="D658" s="120"/>
      <c r="E658" s="120"/>
      <c r="F658" s="120"/>
      <c r="G658" s="120"/>
    </row>
    <row r="659" spans="1:7" ht="13" x14ac:dyDescent="0.3">
      <c r="A659" s="118"/>
      <c r="C659" s="120"/>
      <c r="D659" s="120"/>
      <c r="E659" s="120"/>
      <c r="F659" s="120"/>
      <c r="G659" s="120"/>
    </row>
    <row r="660" spans="1:7" ht="13" x14ac:dyDescent="0.3">
      <c r="A660" s="118"/>
      <c r="C660" s="120"/>
      <c r="D660" s="120"/>
      <c r="E660" s="120"/>
      <c r="F660" s="120"/>
      <c r="G660" s="120"/>
    </row>
    <row r="661" spans="1:7" ht="13" x14ac:dyDescent="0.3">
      <c r="A661" s="118"/>
      <c r="C661" s="120"/>
      <c r="D661" s="120"/>
      <c r="E661" s="120"/>
      <c r="F661" s="120"/>
      <c r="G661" s="120"/>
    </row>
    <row r="662" spans="1:7" ht="13" x14ac:dyDescent="0.3">
      <c r="A662" s="118"/>
      <c r="C662" s="120"/>
      <c r="D662" s="120"/>
      <c r="E662" s="120"/>
      <c r="F662" s="120"/>
      <c r="G662" s="120"/>
    </row>
    <row r="663" spans="1:7" ht="13" x14ac:dyDescent="0.3">
      <c r="A663" s="118"/>
      <c r="C663" s="120"/>
      <c r="D663" s="120"/>
      <c r="E663" s="120"/>
      <c r="F663" s="120"/>
      <c r="G663" s="120"/>
    </row>
    <row r="664" spans="1:7" ht="13" x14ac:dyDescent="0.3">
      <c r="A664" s="118"/>
      <c r="C664" s="120"/>
      <c r="D664" s="120"/>
      <c r="E664" s="120"/>
      <c r="F664" s="120"/>
      <c r="G664" s="120"/>
    </row>
    <row r="665" spans="1:7" ht="13" x14ac:dyDescent="0.3">
      <c r="A665" s="118"/>
      <c r="C665" s="120"/>
      <c r="D665" s="120"/>
      <c r="E665" s="120"/>
      <c r="F665" s="120"/>
      <c r="G665" s="120"/>
    </row>
    <row r="666" spans="1:7" ht="13" x14ac:dyDescent="0.3">
      <c r="A666" s="118"/>
      <c r="C666" s="120"/>
      <c r="D666" s="120"/>
      <c r="E666" s="120"/>
      <c r="F666" s="120"/>
      <c r="G666" s="120"/>
    </row>
    <row r="667" spans="1:7" ht="13" x14ac:dyDescent="0.3">
      <c r="A667" s="118"/>
      <c r="C667" s="120"/>
      <c r="D667" s="120"/>
      <c r="E667" s="120"/>
      <c r="F667" s="120"/>
      <c r="G667" s="120"/>
    </row>
    <row r="668" spans="1:7" ht="13" x14ac:dyDescent="0.3">
      <c r="A668" s="118"/>
      <c r="C668" s="120"/>
      <c r="D668" s="120"/>
      <c r="E668" s="120"/>
      <c r="F668" s="120"/>
      <c r="G668" s="120"/>
    </row>
    <row r="669" spans="1:7" ht="13" x14ac:dyDescent="0.3">
      <c r="A669" s="118"/>
      <c r="C669" s="120"/>
      <c r="D669" s="120"/>
      <c r="E669" s="120"/>
      <c r="F669" s="120"/>
      <c r="G669" s="120"/>
    </row>
    <row r="670" spans="1:7" ht="13" x14ac:dyDescent="0.3">
      <c r="A670" s="118"/>
      <c r="C670" s="120"/>
      <c r="D670" s="120"/>
      <c r="E670" s="120"/>
      <c r="F670" s="120"/>
      <c r="G670" s="120"/>
    </row>
    <row r="671" spans="1:7" ht="13" x14ac:dyDescent="0.3">
      <c r="A671" s="118"/>
      <c r="C671" s="120"/>
      <c r="D671" s="120"/>
      <c r="E671" s="120"/>
      <c r="F671" s="120"/>
      <c r="G671" s="120"/>
    </row>
    <row r="672" spans="1:7" ht="13" x14ac:dyDescent="0.3">
      <c r="A672" s="118"/>
      <c r="C672" s="120"/>
      <c r="D672" s="120"/>
      <c r="E672" s="120"/>
      <c r="F672" s="120"/>
      <c r="G672" s="120"/>
    </row>
    <row r="673" spans="1:7" ht="13" x14ac:dyDescent="0.3">
      <c r="A673" s="118"/>
      <c r="C673" s="120"/>
      <c r="D673" s="120"/>
      <c r="E673" s="120"/>
      <c r="F673" s="120"/>
      <c r="G673" s="120"/>
    </row>
    <row r="674" spans="1:7" ht="13" x14ac:dyDescent="0.3">
      <c r="A674" s="118"/>
      <c r="C674" s="120"/>
      <c r="D674" s="120"/>
      <c r="E674" s="120"/>
      <c r="F674" s="120"/>
      <c r="G674" s="120"/>
    </row>
    <row r="675" spans="1:7" ht="13" x14ac:dyDescent="0.3">
      <c r="A675" s="118"/>
      <c r="C675" s="120"/>
      <c r="D675" s="120"/>
      <c r="E675" s="120"/>
      <c r="F675" s="120"/>
      <c r="G675" s="120"/>
    </row>
    <row r="676" spans="1:7" ht="13" x14ac:dyDescent="0.3">
      <c r="A676" s="118"/>
      <c r="C676" s="120"/>
      <c r="D676" s="120"/>
      <c r="E676" s="120"/>
      <c r="F676" s="120"/>
      <c r="G676" s="120"/>
    </row>
    <row r="677" spans="1:7" ht="13" x14ac:dyDescent="0.3">
      <c r="A677" s="118"/>
      <c r="C677" s="120"/>
      <c r="D677" s="120"/>
      <c r="E677" s="120"/>
      <c r="F677" s="120"/>
      <c r="G677" s="120"/>
    </row>
    <row r="678" spans="1:7" ht="13" x14ac:dyDescent="0.3">
      <c r="A678" s="118"/>
      <c r="C678" s="120"/>
      <c r="D678" s="120"/>
      <c r="E678" s="120"/>
      <c r="F678" s="120"/>
      <c r="G678" s="120"/>
    </row>
    <row r="679" spans="1:7" ht="13" x14ac:dyDescent="0.3">
      <c r="A679" s="118"/>
      <c r="C679" s="120"/>
      <c r="D679" s="120"/>
      <c r="E679" s="120"/>
      <c r="F679" s="120"/>
      <c r="G679" s="120"/>
    </row>
    <row r="680" spans="1:7" ht="13" x14ac:dyDescent="0.3">
      <c r="A680" s="118"/>
      <c r="C680" s="120"/>
      <c r="D680" s="120"/>
      <c r="E680" s="120"/>
      <c r="F680" s="120"/>
      <c r="G680" s="120"/>
    </row>
    <row r="681" spans="1:7" ht="13" x14ac:dyDescent="0.3">
      <c r="A681" s="118"/>
      <c r="C681" s="120"/>
      <c r="D681" s="120"/>
      <c r="E681" s="120"/>
      <c r="F681" s="120"/>
      <c r="G681" s="120"/>
    </row>
    <row r="682" spans="1:7" ht="13" x14ac:dyDescent="0.3">
      <c r="A682" s="118"/>
      <c r="C682" s="120"/>
      <c r="D682" s="120"/>
      <c r="E682" s="120"/>
      <c r="F682" s="120"/>
      <c r="G682" s="120"/>
    </row>
    <row r="683" spans="1:7" ht="13" x14ac:dyDescent="0.3">
      <c r="A683" s="118"/>
      <c r="C683" s="120"/>
      <c r="D683" s="120"/>
      <c r="E683" s="120"/>
      <c r="F683" s="120"/>
      <c r="G683" s="120"/>
    </row>
    <row r="684" spans="1:7" ht="13" x14ac:dyDescent="0.3">
      <c r="A684" s="118"/>
      <c r="C684" s="120"/>
      <c r="D684" s="120"/>
      <c r="E684" s="120"/>
      <c r="F684" s="120"/>
      <c r="G684" s="120"/>
    </row>
    <row r="685" spans="1:7" ht="13" x14ac:dyDescent="0.3">
      <c r="A685" s="118"/>
      <c r="C685" s="120"/>
      <c r="D685" s="120"/>
      <c r="E685" s="120"/>
      <c r="F685" s="120"/>
      <c r="G685" s="120"/>
    </row>
    <row r="686" spans="1:7" ht="13" x14ac:dyDescent="0.3">
      <c r="A686" s="118"/>
      <c r="C686" s="120"/>
      <c r="D686" s="120"/>
      <c r="E686" s="120"/>
      <c r="F686" s="120"/>
      <c r="G686" s="120"/>
    </row>
    <row r="687" spans="1:7" ht="13" x14ac:dyDescent="0.3">
      <c r="A687" s="118"/>
      <c r="C687" s="120"/>
      <c r="D687" s="120"/>
      <c r="E687" s="120"/>
      <c r="F687" s="120"/>
      <c r="G687" s="120"/>
    </row>
    <row r="688" spans="1:7" ht="13" x14ac:dyDescent="0.3">
      <c r="A688" s="118"/>
      <c r="C688" s="120"/>
      <c r="D688" s="120"/>
      <c r="E688" s="120"/>
      <c r="F688" s="120"/>
      <c r="G688" s="120"/>
    </row>
    <row r="689" spans="1:7" ht="13" x14ac:dyDescent="0.3">
      <c r="A689" s="118"/>
      <c r="C689" s="120"/>
      <c r="D689" s="120"/>
      <c r="E689" s="120"/>
      <c r="F689" s="120"/>
      <c r="G689" s="120"/>
    </row>
    <row r="690" spans="1:7" ht="13" x14ac:dyDescent="0.3">
      <c r="A690" s="118"/>
      <c r="C690" s="120"/>
      <c r="D690" s="120"/>
      <c r="E690" s="120"/>
      <c r="F690" s="120"/>
      <c r="G690" s="120"/>
    </row>
    <row r="691" spans="1:7" ht="13" x14ac:dyDescent="0.3">
      <c r="A691" s="118"/>
      <c r="C691" s="120"/>
      <c r="D691" s="120"/>
      <c r="E691" s="120"/>
      <c r="F691" s="120"/>
      <c r="G691" s="120"/>
    </row>
    <row r="692" spans="1:7" ht="13" x14ac:dyDescent="0.3">
      <c r="A692" s="118"/>
      <c r="C692" s="120"/>
      <c r="D692" s="120"/>
      <c r="E692" s="120"/>
      <c r="F692" s="120"/>
      <c r="G692" s="120"/>
    </row>
    <row r="693" spans="1:7" ht="13" x14ac:dyDescent="0.3">
      <c r="A693" s="118"/>
      <c r="C693" s="120"/>
      <c r="D693" s="120"/>
      <c r="E693" s="120"/>
      <c r="F693" s="120"/>
      <c r="G693" s="120"/>
    </row>
    <row r="694" spans="1:7" ht="13" x14ac:dyDescent="0.3">
      <c r="A694" s="118"/>
      <c r="C694" s="120"/>
      <c r="D694" s="120"/>
      <c r="E694" s="120"/>
      <c r="F694" s="120"/>
      <c r="G694" s="120"/>
    </row>
    <row r="695" spans="1:7" ht="13" x14ac:dyDescent="0.3">
      <c r="A695" s="118"/>
      <c r="C695" s="120"/>
      <c r="D695" s="120"/>
      <c r="E695" s="120"/>
      <c r="F695" s="120"/>
      <c r="G695" s="120"/>
    </row>
    <row r="696" spans="1:7" ht="13" x14ac:dyDescent="0.3">
      <c r="A696" s="118"/>
      <c r="C696" s="120"/>
      <c r="D696" s="120"/>
      <c r="E696" s="120"/>
      <c r="F696" s="120"/>
      <c r="G696" s="120"/>
    </row>
    <row r="697" spans="1:7" ht="13" x14ac:dyDescent="0.3">
      <c r="A697" s="118"/>
      <c r="C697" s="120"/>
      <c r="D697" s="120"/>
      <c r="E697" s="120"/>
      <c r="F697" s="120"/>
      <c r="G697" s="120"/>
    </row>
    <row r="698" spans="1:7" ht="13" x14ac:dyDescent="0.3">
      <c r="A698" s="118"/>
      <c r="C698" s="120"/>
      <c r="D698" s="120"/>
      <c r="E698" s="120"/>
      <c r="F698" s="120"/>
      <c r="G698" s="120"/>
    </row>
    <row r="699" spans="1:7" ht="13" x14ac:dyDescent="0.3">
      <c r="A699" s="118"/>
      <c r="C699" s="120"/>
      <c r="D699" s="120"/>
      <c r="E699" s="120"/>
      <c r="F699" s="120"/>
      <c r="G699" s="120"/>
    </row>
    <row r="700" spans="1:7" ht="13" x14ac:dyDescent="0.3">
      <c r="A700" s="118"/>
      <c r="C700" s="120"/>
      <c r="D700" s="120"/>
      <c r="E700" s="120"/>
      <c r="F700" s="120"/>
      <c r="G700" s="120"/>
    </row>
    <row r="701" spans="1:7" ht="13" x14ac:dyDescent="0.3">
      <c r="A701" s="118"/>
      <c r="C701" s="120"/>
      <c r="D701" s="120"/>
      <c r="E701" s="120"/>
      <c r="F701" s="120"/>
      <c r="G701" s="120"/>
    </row>
    <row r="702" spans="1:7" ht="13" x14ac:dyDescent="0.3">
      <c r="A702" s="118"/>
      <c r="C702" s="120"/>
      <c r="D702" s="120"/>
      <c r="E702" s="120"/>
      <c r="F702" s="120"/>
      <c r="G702" s="120"/>
    </row>
    <row r="703" spans="1:7" ht="13" x14ac:dyDescent="0.3">
      <c r="A703" s="118"/>
      <c r="C703" s="120"/>
      <c r="D703" s="120"/>
      <c r="E703" s="120"/>
      <c r="F703" s="120"/>
      <c r="G703" s="120"/>
    </row>
    <row r="704" spans="1:7" ht="13" x14ac:dyDescent="0.3">
      <c r="A704" s="118"/>
      <c r="C704" s="120"/>
      <c r="D704" s="120"/>
      <c r="E704" s="120"/>
      <c r="F704" s="120"/>
      <c r="G704" s="120"/>
    </row>
    <row r="705" spans="1:7" ht="13" x14ac:dyDescent="0.3">
      <c r="A705" s="118"/>
      <c r="C705" s="120"/>
      <c r="D705" s="120"/>
      <c r="E705" s="120"/>
      <c r="F705" s="120"/>
      <c r="G705" s="120"/>
    </row>
    <row r="706" spans="1:7" ht="13" x14ac:dyDescent="0.3">
      <c r="A706" s="118"/>
      <c r="C706" s="120"/>
      <c r="D706" s="120"/>
      <c r="E706" s="120"/>
      <c r="F706" s="120"/>
      <c r="G706" s="120"/>
    </row>
    <row r="707" spans="1:7" ht="13" x14ac:dyDescent="0.3">
      <c r="A707" s="118"/>
      <c r="C707" s="120"/>
      <c r="D707" s="120"/>
      <c r="E707" s="120"/>
      <c r="F707" s="120"/>
      <c r="G707" s="120"/>
    </row>
    <row r="708" spans="1:7" ht="13" x14ac:dyDescent="0.3">
      <c r="A708" s="118"/>
      <c r="C708" s="120"/>
      <c r="D708" s="120"/>
      <c r="E708" s="120"/>
      <c r="F708" s="120"/>
      <c r="G708" s="120"/>
    </row>
    <row r="709" spans="1:7" ht="13" x14ac:dyDescent="0.3">
      <c r="A709" s="118"/>
      <c r="C709" s="120"/>
      <c r="D709" s="120"/>
      <c r="E709" s="120"/>
      <c r="F709" s="120"/>
      <c r="G709" s="120"/>
    </row>
    <row r="710" spans="1:7" ht="13" x14ac:dyDescent="0.3">
      <c r="A710" s="118"/>
      <c r="C710" s="120"/>
      <c r="D710" s="120"/>
      <c r="E710" s="120"/>
      <c r="F710" s="120"/>
      <c r="G710" s="120"/>
    </row>
    <row r="711" spans="1:7" ht="13" x14ac:dyDescent="0.3">
      <c r="A711" s="118"/>
      <c r="C711" s="120"/>
      <c r="D711" s="120"/>
      <c r="E711" s="120"/>
      <c r="F711" s="120"/>
      <c r="G711" s="120"/>
    </row>
    <row r="712" spans="1:7" ht="13" x14ac:dyDescent="0.3">
      <c r="A712" s="118"/>
      <c r="C712" s="120"/>
      <c r="D712" s="120"/>
      <c r="E712" s="120"/>
      <c r="F712" s="120"/>
      <c r="G712" s="120"/>
    </row>
    <row r="713" spans="1:7" ht="13" x14ac:dyDescent="0.3">
      <c r="A713" s="118"/>
      <c r="C713" s="120"/>
      <c r="D713" s="120"/>
      <c r="E713" s="120"/>
      <c r="F713" s="120"/>
      <c r="G713" s="120"/>
    </row>
    <row r="714" spans="1:7" ht="13" x14ac:dyDescent="0.3">
      <c r="A714" s="118"/>
      <c r="C714" s="120"/>
      <c r="D714" s="120"/>
      <c r="E714" s="120"/>
      <c r="F714" s="120"/>
      <c r="G714" s="120"/>
    </row>
    <row r="715" spans="1:7" ht="13" x14ac:dyDescent="0.3">
      <c r="A715" s="118"/>
      <c r="C715" s="120"/>
      <c r="D715" s="120"/>
      <c r="E715" s="120"/>
      <c r="F715" s="120"/>
      <c r="G715" s="120"/>
    </row>
    <row r="716" spans="1:7" ht="13" x14ac:dyDescent="0.3">
      <c r="A716" s="118"/>
      <c r="C716" s="120"/>
      <c r="D716" s="120"/>
      <c r="E716" s="120"/>
      <c r="F716" s="120"/>
      <c r="G716" s="120"/>
    </row>
    <row r="717" spans="1:7" ht="13" x14ac:dyDescent="0.3">
      <c r="A717" s="118"/>
      <c r="C717" s="120"/>
      <c r="D717" s="120"/>
      <c r="E717" s="120"/>
      <c r="F717" s="120"/>
      <c r="G717" s="120"/>
    </row>
    <row r="718" spans="1:7" ht="13" x14ac:dyDescent="0.3">
      <c r="A718" s="118"/>
      <c r="C718" s="120"/>
      <c r="D718" s="120"/>
      <c r="E718" s="120"/>
      <c r="F718" s="120"/>
      <c r="G718" s="120"/>
    </row>
    <row r="719" spans="1:7" ht="13" x14ac:dyDescent="0.3">
      <c r="A719" s="118"/>
      <c r="C719" s="120"/>
      <c r="D719" s="120"/>
      <c r="E719" s="120"/>
      <c r="F719" s="120"/>
      <c r="G719" s="120"/>
    </row>
    <row r="720" spans="1:7" ht="13" x14ac:dyDescent="0.3">
      <c r="A720" s="118"/>
      <c r="C720" s="120"/>
      <c r="D720" s="120"/>
      <c r="E720" s="120"/>
      <c r="F720" s="120"/>
      <c r="G720" s="120"/>
    </row>
    <row r="721" spans="1:7" ht="13" x14ac:dyDescent="0.3">
      <c r="A721" s="118"/>
      <c r="C721" s="120"/>
      <c r="D721" s="120"/>
      <c r="E721" s="120"/>
      <c r="F721" s="120"/>
      <c r="G721" s="120"/>
    </row>
    <row r="722" spans="1:7" ht="13" x14ac:dyDescent="0.3">
      <c r="A722" s="118"/>
      <c r="C722" s="120"/>
      <c r="D722" s="120"/>
      <c r="E722" s="120"/>
      <c r="F722" s="120"/>
      <c r="G722" s="120"/>
    </row>
    <row r="723" spans="1:7" ht="13" x14ac:dyDescent="0.3">
      <c r="A723" s="118"/>
      <c r="C723" s="120"/>
      <c r="D723" s="120"/>
      <c r="E723" s="120"/>
      <c r="F723" s="120"/>
      <c r="G723" s="120"/>
    </row>
    <row r="724" spans="1:7" ht="13" x14ac:dyDescent="0.3">
      <c r="A724" s="118"/>
      <c r="C724" s="120"/>
      <c r="D724" s="120"/>
      <c r="E724" s="120"/>
      <c r="F724" s="120"/>
      <c r="G724" s="120"/>
    </row>
    <row r="725" spans="1:7" ht="13" x14ac:dyDescent="0.3">
      <c r="A725" s="118"/>
      <c r="C725" s="120"/>
      <c r="D725" s="120"/>
      <c r="E725" s="120"/>
      <c r="F725" s="120"/>
      <c r="G725" s="120"/>
    </row>
    <row r="726" spans="1:7" ht="13" x14ac:dyDescent="0.3">
      <c r="A726" s="118"/>
      <c r="C726" s="120"/>
      <c r="D726" s="120"/>
      <c r="E726" s="120"/>
      <c r="F726" s="120"/>
      <c r="G726" s="120"/>
    </row>
    <row r="727" spans="1:7" ht="13" x14ac:dyDescent="0.3">
      <c r="A727" s="118"/>
      <c r="C727" s="120"/>
      <c r="D727" s="120"/>
      <c r="E727" s="120"/>
      <c r="F727" s="120"/>
      <c r="G727" s="120"/>
    </row>
    <row r="728" spans="1:7" ht="13" x14ac:dyDescent="0.3">
      <c r="A728" s="118"/>
      <c r="C728" s="120"/>
      <c r="D728" s="120"/>
      <c r="E728" s="120"/>
      <c r="F728" s="120"/>
      <c r="G728" s="120"/>
    </row>
    <row r="729" spans="1:7" ht="13" x14ac:dyDescent="0.3">
      <c r="A729" s="118"/>
      <c r="C729" s="120"/>
      <c r="D729" s="120"/>
      <c r="E729" s="120"/>
      <c r="F729" s="120"/>
      <c r="G729" s="120"/>
    </row>
    <row r="730" spans="1:7" ht="13" x14ac:dyDescent="0.3">
      <c r="A730" s="118"/>
      <c r="C730" s="120"/>
      <c r="D730" s="120"/>
      <c r="E730" s="120"/>
      <c r="F730" s="120"/>
      <c r="G730" s="120"/>
    </row>
    <row r="731" spans="1:7" ht="13" x14ac:dyDescent="0.3">
      <c r="A731" s="118"/>
      <c r="C731" s="120"/>
      <c r="D731" s="120"/>
      <c r="E731" s="120"/>
      <c r="F731" s="120"/>
      <c r="G731" s="120"/>
    </row>
    <row r="732" spans="1:7" ht="13" x14ac:dyDescent="0.3">
      <c r="A732" s="118"/>
      <c r="C732" s="120"/>
      <c r="D732" s="120"/>
      <c r="E732" s="120"/>
      <c r="F732" s="120"/>
      <c r="G732" s="120"/>
    </row>
    <row r="733" spans="1:7" ht="13" x14ac:dyDescent="0.3">
      <c r="A733" s="118"/>
      <c r="C733" s="120"/>
      <c r="D733" s="120"/>
      <c r="E733" s="120"/>
      <c r="F733" s="120"/>
      <c r="G733" s="120"/>
    </row>
    <row r="734" spans="1:7" ht="13" x14ac:dyDescent="0.3">
      <c r="A734" s="118"/>
      <c r="C734" s="120"/>
      <c r="D734" s="120"/>
      <c r="E734" s="120"/>
      <c r="F734" s="120"/>
      <c r="G734" s="120"/>
    </row>
    <row r="735" spans="1:7" ht="13" x14ac:dyDescent="0.3">
      <c r="A735" s="118"/>
      <c r="C735" s="120"/>
      <c r="D735" s="120"/>
      <c r="E735" s="120"/>
      <c r="F735" s="120"/>
      <c r="G735" s="120"/>
    </row>
    <row r="736" spans="1:7" ht="13" x14ac:dyDescent="0.3">
      <c r="A736" s="118"/>
      <c r="C736" s="120"/>
      <c r="D736" s="120"/>
      <c r="E736" s="120"/>
      <c r="F736" s="120"/>
      <c r="G736" s="120"/>
    </row>
    <row r="737" spans="1:7" ht="13" x14ac:dyDescent="0.3">
      <c r="A737" s="118"/>
      <c r="C737" s="120"/>
      <c r="D737" s="120"/>
      <c r="E737" s="120"/>
      <c r="F737" s="120"/>
      <c r="G737" s="120"/>
    </row>
    <row r="738" spans="1:7" ht="13" x14ac:dyDescent="0.3">
      <c r="A738" s="118"/>
      <c r="C738" s="120"/>
      <c r="D738" s="120"/>
      <c r="E738" s="120"/>
      <c r="F738" s="120"/>
      <c r="G738" s="120"/>
    </row>
    <row r="739" spans="1:7" ht="13" x14ac:dyDescent="0.3">
      <c r="A739" s="118"/>
      <c r="C739" s="120"/>
      <c r="D739" s="120"/>
      <c r="E739" s="120"/>
      <c r="F739" s="120"/>
      <c r="G739" s="120"/>
    </row>
    <row r="740" spans="1:7" ht="13" x14ac:dyDescent="0.3">
      <c r="A740" s="118"/>
      <c r="C740" s="120"/>
      <c r="D740" s="120"/>
      <c r="E740" s="120"/>
      <c r="F740" s="120"/>
      <c r="G740" s="120"/>
    </row>
    <row r="741" spans="1:7" ht="13" x14ac:dyDescent="0.3">
      <c r="A741" s="118"/>
      <c r="C741" s="120"/>
      <c r="D741" s="120"/>
      <c r="E741" s="120"/>
      <c r="F741" s="120"/>
      <c r="G741" s="120"/>
    </row>
    <row r="742" spans="1:7" ht="13" x14ac:dyDescent="0.3">
      <c r="A742" s="118"/>
      <c r="C742" s="120"/>
      <c r="D742" s="120"/>
      <c r="E742" s="120"/>
      <c r="F742" s="120"/>
      <c r="G742" s="120"/>
    </row>
    <row r="743" spans="1:7" ht="13" x14ac:dyDescent="0.3">
      <c r="A743" s="118"/>
      <c r="C743" s="120"/>
      <c r="D743" s="120"/>
      <c r="E743" s="120"/>
      <c r="F743" s="120"/>
      <c r="G743" s="120"/>
    </row>
    <row r="744" spans="1:7" ht="13" x14ac:dyDescent="0.3">
      <c r="A744" s="118"/>
      <c r="C744" s="120"/>
      <c r="D744" s="120"/>
      <c r="E744" s="120"/>
      <c r="F744" s="120"/>
      <c r="G744" s="120"/>
    </row>
    <row r="745" spans="1:7" ht="13" x14ac:dyDescent="0.3">
      <c r="A745" s="118"/>
      <c r="C745" s="120"/>
      <c r="D745" s="120"/>
      <c r="E745" s="120"/>
      <c r="F745" s="120"/>
      <c r="G745" s="120"/>
    </row>
    <row r="746" spans="1:7" ht="13" x14ac:dyDescent="0.3">
      <c r="A746" s="118"/>
      <c r="C746" s="120"/>
      <c r="D746" s="120"/>
      <c r="E746" s="120"/>
      <c r="F746" s="120"/>
      <c r="G746" s="120"/>
    </row>
    <row r="747" spans="1:7" ht="13" x14ac:dyDescent="0.3">
      <c r="A747" s="118"/>
      <c r="C747" s="120"/>
      <c r="D747" s="120"/>
      <c r="E747" s="120"/>
      <c r="F747" s="120"/>
      <c r="G747" s="120"/>
    </row>
    <row r="748" spans="1:7" ht="13" x14ac:dyDescent="0.3">
      <c r="A748" s="118"/>
      <c r="C748" s="120"/>
      <c r="D748" s="120"/>
      <c r="E748" s="120"/>
      <c r="F748" s="120"/>
      <c r="G748" s="120"/>
    </row>
    <row r="749" spans="1:7" ht="13" x14ac:dyDescent="0.3">
      <c r="A749" s="118"/>
      <c r="C749" s="120"/>
      <c r="D749" s="120"/>
      <c r="E749" s="120"/>
      <c r="F749" s="120"/>
      <c r="G749" s="120"/>
    </row>
    <row r="750" spans="1:7" ht="13" x14ac:dyDescent="0.3">
      <c r="A750" s="118"/>
      <c r="C750" s="120"/>
      <c r="D750" s="120"/>
      <c r="E750" s="120"/>
      <c r="F750" s="120"/>
      <c r="G750" s="120"/>
    </row>
    <row r="751" spans="1:7" ht="13" x14ac:dyDescent="0.3">
      <c r="A751" s="118"/>
      <c r="C751" s="120"/>
      <c r="D751" s="120"/>
      <c r="E751" s="120"/>
      <c r="F751" s="120"/>
      <c r="G751" s="120"/>
    </row>
    <row r="752" spans="1:7" ht="13" x14ac:dyDescent="0.3">
      <c r="A752" s="118"/>
      <c r="C752" s="120"/>
      <c r="D752" s="120"/>
      <c r="E752" s="120"/>
      <c r="F752" s="120"/>
      <c r="G752" s="120"/>
    </row>
    <row r="753" spans="1:7" ht="13" x14ac:dyDescent="0.3">
      <c r="A753" s="118"/>
      <c r="C753" s="120"/>
      <c r="D753" s="120"/>
      <c r="E753" s="120"/>
      <c r="F753" s="120"/>
      <c r="G753" s="120"/>
    </row>
    <row r="754" spans="1:7" ht="13" x14ac:dyDescent="0.3">
      <c r="A754" s="118"/>
      <c r="C754" s="120"/>
      <c r="D754" s="120"/>
      <c r="E754" s="120"/>
      <c r="F754" s="120"/>
      <c r="G754" s="120"/>
    </row>
    <row r="755" spans="1:7" ht="13" x14ac:dyDescent="0.3">
      <c r="A755" s="118"/>
      <c r="C755" s="120"/>
      <c r="D755" s="120"/>
      <c r="E755" s="120"/>
      <c r="F755" s="120"/>
      <c r="G755" s="120"/>
    </row>
    <row r="756" spans="1:7" ht="13" x14ac:dyDescent="0.3">
      <c r="A756" s="118"/>
      <c r="C756" s="120"/>
      <c r="D756" s="120"/>
      <c r="E756" s="120"/>
      <c r="F756" s="120"/>
      <c r="G756" s="120"/>
    </row>
    <row r="757" spans="1:7" ht="13" x14ac:dyDescent="0.3">
      <c r="A757" s="118"/>
      <c r="C757" s="120"/>
      <c r="D757" s="120"/>
      <c r="E757" s="120"/>
      <c r="F757" s="120"/>
      <c r="G757" s="120"/>
    </row>
    <row r="758" spans="1:7" ht="13" x14ac:dyDescent="0.3">
      <c r="A758" s="118"/>
      <c r="C758" s="120"/>
      <c r="D758" s="120"/>
      <c r="E758" s="120"/>
      <c r="F758" s="120"/>
      <c r="G758" s="120"/>
    </row>
    <row r="759" spans="1:7" ht="13" x14ac:dyDescent="0.3">
      <c r="A759" s="118"/>
      <c r="C759" s="120"/>
      <c r="D759" s="120"/>
      <c r="E759" s="120"/>
      <c r="F759" s="120"/>
      <c r="G759" s="120"/>
    </row>
    <row r="760" spans="1:7" ht="13" x14ac:dyDescent="0.3">
      <c r="A760" s="118"/>
      <c r="C760" s="120"/>
      <c r="D760" s="120"/>
      <c r="E760" s="120"/>
      <c r="F760" s="120"/>
      <c r="G760" s="120"/>
    </row>
    <row r="761" spans="1:7" ht="13" x14ac:dyDescent="0.3">
      <c r="A761" s="118"/>
      <c r="C761" s="120"/>
      <c r="D761" s="120"/>
      <c r="E761" s="120"/>
      <c r="F761" s="120"/>
      <c r="G761" s="120"/>
    </row>
    <row r="762" spans="1:7" ht="13" x14ac:dyDescent="0.3">
      <c r="A762" s="118"/>
      <c r="C762" s="120"/>
      <c r="D762" s="120"/>
      <c r="E762" s="120"/>
      <c r="F762" s="120"/>
      <c r="G762" s="120"/>
    </row>
    <row r="763" spans="1:7" ht="13" x14ac:dyDescent="0.3">
      <c r="A763" s="118"/>
      <c r="C763" s="120"/>
      <c r="D763" s="120"/>
      <c r="E763" s="120"/>
      <c r="F763" s="120"/>
      <c r="G763" s="120"/>
    </row>
    <row r="764" spans="1:7" ht="13" x14ac:dyDescent="0.3">
      <c r="A764" s="118"/>
      <c r="C764" s="120"/>
      <c r="D764" s="120"/>
      <c r="E764" s="120"/>
      <c r="F764" s="120"/>
      <c r="G764" s="120"/>
    </row>
    <row r="765" spans="1:7" ht="13" x14ac:dyDescent="0.3">
      <c r="A765" s="118"/>
      <c r="C765" s="120"/>
      <c r="D765" s="120"/>
      <c r="E765" s="120"/>
      <c r="F765" s="120"/>
      <c r="G765" s="120"/>
    </row>
    <row r="766" spans="1:7" ht="13" x14ac:dyDescent="0.3">
      <c r="A766" s="118"/>
      <c r="C766" s="120"/>
      <c r="D766" s="120"/>
      <c r="E766" s="120"/>
      <c r="F766" s="120"/>
      <c r="G766" s="120"/>
    </row>
    <row r="767" spans="1:7" ht="13" x14ac:dyDescent="0.3">
      <c r="A767" s="118"/>
      <c r="C767" s="120"/>
      <c r="D767" s="120"/>
      <c r="E767" s="120"/>
      <c r="F767" s="120"/>
      <c r="G767" s="120"/>
    </row>
    <row r="768" spans="1:7" ht="13" x14ac:dyDescent="0.3">
      <c r="A768" s="118"/>
      <c r="C768" s="120"/>
      <c r="D768" s="120"/>
      <c r="E768" s="120"/>
      <c r="F768" s="120"/>
      <c r="G768" s="120"/>
    </row>
    <row r="769" spans="1:7" ht="13" x14ac:dyDescent="0.3">
      <c r="A769" s="118"/>
      <c r="C769" s="120"/>
      <c r="D769" s="120"/>
      <c r="E769" s="120"/>
      <c r="F769" s="120"/>
      <c r="G769" s="120"/>
    </row>
    <row r="770" spans="1:7" ht="13" x14ac:dyDescent="0.3">
      <c r="A770" s="118"/>
      <c r="C770" s="120"/>
      <c r="D770" s="120"/>
      <c r="E770" s="120"/>
      <c r="F770" s="120"/>
      <c r="G770" s="120"/>
    </row>
    <row r="771" spans="1:7" ht="13" x14ac:dyDescent="0.3">
      <c r="A771" s="118"/>
      <c r="C771" s="120"/>
      <c r="D771" s="120"/>
      <c r="E771" s="120"/>
      <c r="F771" s="120"/>
      <c r="G771" s="120"/>
    </row>
    <row r="772" spans="1:7" ht="13" x14ac:dyDescent="0.3">
      <c r="A772" s="118"/>
      <c r="C772" s="120"/>
      <c r="D772" s="120"/>
      <c r="E772" s="120"/>
      <c r="F772" s="120"/>
      <c r="G772" s="120"/>
    </row>
    <row r="773" spans="1:7" ht="13" x14ac:dyDescent="0.3">
      <c r="A773" s="118"/>
      <c r="C773" s="120"/>
      <c r="D773" s="120"/>
      <c r="E773" s="120"/>
      <c r="F773" s="120"/>
      <c r="G773" s="120"/>
    </row>
    <row r="774" spans="1:7" ht="13" x14ac:dyDescent="0.3">
      <c r="A774" s="118"/>
      <c r="C774" s="120"/>
      <c r="D774" s="120"/>
      <c r="E774" s="120"/>
      <c r="F774" s="120"/>
      <c r="G774" s="120"/>
    </row>
    <row r="775" spans="1:7" ht="13" x14ac:dyDescent="0.3">
      <c r="A775" s="118"/>
      <c r="C775" s="120"/>
      <c r="D775" s="120"/>
      <c r="E775" s="120"/>
      <c r="F775" s="120"/>
      <c r="G775" s="120"/>
    </row>
    <row r="776" spans="1:7" ht="13" x14ac:dyDescent="0.3">
      <c r="A776" s="118"/>
      <c r="C776" s="120"/>
      <c r="D776" s="120"/>
      <c r="E776" s="120"/>
      <c r="F776" s="120"/>
      <c r="G776" s="120"/>
    </row>
    <row r="777" spans="1:7" ht="13" x14ac:dyDescent="0.3">
      <c r="A777" s="118"/>
      <c r="C777" s="120"/>
      <c r="D777" s="120"/>
      <c r="E777" s="120"/>
      <c r="F777" s="120"/>
      <c r="G777" s="120"/>
    </row>
    <row r="778" spans="1:7" ht="13" x14ac:dyDescent="0.3">
      <c r="A778" s="118"/>
      <c r="C778" s="120"/>
      <c r="D778" s="120"/>
      <c r="E778" s="120"/>
      <c r="F778" s="120"/>
      <c r="G778" s="120"/>
    </row>
    <row r="779" spans="1:7" ht="13" x14ac:dyDescent="0.3">
      <c r="A779" s="118"/>
      <c r="C779" s="120"/>
      <c r="D779" s="120"/>
      <c r="E779" s="120"/>
      <c r="F779" s="120"/>
      <c r="G779" s="120"/>
    </row>
    <row r="780" spans="1:7" ht="13" x14ac:dyDescent="0.3">
      <c r="A780" s="118"/>
      <c r="C780" s="120"/>
      <c r="D780" s="120"/>
      <c r="E780" s="120"/>
      <c r="F780" s="120"/>
      <c r="G780" s="120"/>
    </row>
    <row r="781" spans="1:7" ht="13" x14ac:dyDescent="0.3">
      <c r="A781" s="118"/>
      <c r="C781" s="120"/>
      <c r="D781" s="120"/>
      <c r="E781" s="120"/>
      <c r="F781" s="120"/>
      <c r="G781" s="120"/>
    </row>
    <row r="782" spans="1:7" ht="13" x14ac:dyDescent="0.3">
      <c r="A782" s="118"/>
      <c r="C782" s="120"/>
      <c r="D782" s="120"/>
      <c r="E782" s="120"/>
      <c r="F782" s="120"/>
      <c r="G782" s="120"/>
    </row>
    <row r="783" spans="1:7" ht="13" x14ac:dyDescent="0.3">
      <c r="A783" s="118"/>
      <c r="C783" s="120"/>
      <c r="D783" s="120"/>
      <c r="E783" s="120"/>
      <c r="F783" s="120"/>
      <c r="G783" s="120"/>
    </row>
    <row r="784" spans="1:7" ht="13" x14ac:dyDescent="0.3">
      <c r="A784" s="118"/>
      <c r="C784" s="120"/>
      <c r="D784" s="120"/>
      <c r="E784" s="120"/>
      <c r="F784" s="120"/>
      <c r="G784" s="120"/>
    </row>
    <row r="785" spans="1:7" ht="13" x14ac:dyDescent="0.3">
      <c r="A785" s="118"/>
      <c r="C785" s="120"/>
      <c r="D785" s="120"/>
      <c r="E785" s="120"/>
      <c r="F785" s="120"/>
      <c r="G785" s="120"/>
    </row>
    <row r="786" spans="1:7" ht="13" x14ac:dyDescent="0.3">
      <c r="A786" s="118"/>
      <c r="C786" s="120"/>
      <c r="D786" s="120"/>
      <c r="E786" s="120"/>
      <c r="F786" s="120"/>
      <c r="G786" s="120"/>
    </row>
    <row r="787" spans="1:7" ht="13" x14ac:dyDescent="0.3">
      <c r="A787" s="118"/>
      <c r="C787" s="120"/>
      <c r="D787" s="120"/>
      <c r="E787" s="120"/>
      <c r="F787" s="120"/>
      <c r="G787" s="120"/>
    </row>
    <row r="788" spans="1:7" ht="13" x14ac:dyDescent="0.3">
      <c r="A788" s="118"/>
      <c r="C788" s="120"/>
      <c r="D788" s="120"/>
      <c r="E788" s="120"/>
      <c r="F788" s="120"/>
      <c r="G788" s="120"/>
    </row>
    <row r="789" spans="1:7" ht="13" x14ac:dyDescent="0.3">
      <c r="A789" s="118"/>
      <c r="C789" s="120"/>
      <c r="D789" s="120"/>
      <c r="E789" s="120"/>
      <c r="F789" s="120"/>
      <c r="G789" s="120"/>
    </row>
    <row r="790" spans="1:7" ht="13" x14ac:dyDescent="0.3">
      <c r="A790" s="118"/>
      <c r="C790" s="120"/>
      <c r="D790" s="120"/>
      <c r="E790" s="120"/>
      <c r="F790" s="120"/>
      <c r="G790" s="120"/>
    </row>
    <row r="791" spans="1:7" ht="13" x14ac:dyDescent="0.3">
      <c r="A791" s="118"/>
      <c r="C791" s="120"/>
      <c r="D791" s="120"/>
      <c r="E791" s="120"/>
      <c r="F791" s="120"/>
      <c r="G791" s="120"/>
    </row>
    <row r="792" spans="1:7" ht="13" x14ac:dyDescent="0.3">
      <c r="A792" s="118"/>
      <c r="C792" s="120"/>
      <c r="D792" s="120"/>
      <c r="E792" s="120"/>
      <c r="F792" s="120"/>
      <c r="G792" s="120"/>
    </row>
    <row r="793" spans="1:7" ht="13" x14ac:dyDescent="0.3">
      <c r="A793" s="118"/>
      <c r="C793" s="120"/>
      <c r="D793" s="120"/>
      <c r="E793" s="120"/>
      <c r="F793" s="120"/>
      <c r="G793" s="120"/>
    </row>
    <row r="794" spans="1:7" ht="13" x14ac:dyDescent="0.3">
      <c r="A794" s="118"/>
      <c r="C794" s="120"/>
      <c r="D794" s="120"/>
      <c r="E794" s="120"/>
      <c r="F794" s="120"/>
      <c r="G794" s="120"/>
    </row>
    <row r="795" spans="1:7" ht="13" x14ac:dyDescent="0.3">
      <c r="A795" s="118"/>
      <c r="C795" s="120"/>
      <c r="D795" s="120"/>
      <c r="E795" s="120"/>
      <c r="F795" s="120"/>
      <c r="G795" s="120"/>
    </row>
    <row r="796" spans="1:7" ht="13" x14ac:dyDescent="0.3">
      <c r="A796" s="118"/>
      <c r="C796" s="120"/>
      <c r="D796" s="120"/>
      <c r="E796" s="120"/>
      <c r="F796" s="120"/>
      <c r="G796" s="120"/>
    </row>
    <row r="797" spans="1:7" ht="13" x14ac:dyDescent="0.3">
      <c r="A797" s="118"/>
      <c r="C797" s="120"/>
      <c r="D797" s="120"/>
      <c r="E797" s="120"/>
      <c r="F797" s="120"/>
      <c r="G797" s="120"/>
    </row>
    <row r="798" spans="1:7" ht="13" x14ac:dyDescent="0.3">
      <c r="A798" s="118"/>
      <c r="C798" s="120"/>
      <c r="D798" s="120"/>
      <c r="E798" s="120"/>
      <c r="F798" s="120"/>
      <c r="G798" s="120"/>
    </row>
    <row r="799" spans="1:7" ht="13" x14ac:dyDescent="0.3">
      <c r="A799" s="118"/>
      <c r="C799" s="120"/>
      <c r="D799" s="120"/>
      <c r="E799" s="120"/>
      <c r="F799" s="120"/>
      <c r="G799" s="120"/>
    </row>
    <row r="800" spans="1:7" ht="13" x14ac:dyDescent="0.3">
      <c r="A800" s="118"/>
      <c r="C800" s="120"/>
      <c r="D800" s="120"/>
      <c r="E800" s="120"/>
      <c r="F800" s="120"/>
      <c r="G800" s="120"/>
    </row>
    <row r="801" spans="1:7" ht="13" x14ac:dyDescent="0.3">
      <c r="A801" s="118"/>
      <c r="C801" s="120"/>
      <c r="D801" s="120"/>
      <c r="E801" s="120"/>
      <c r="F801" s="120"/>
      <c r="G801" s="120"/>
    </row>
    <row r="802" spans="1:7" ht="13" x14ac:dyDescent="0.3">
      <c r="A802" s="118"/>
      <c r="C802" s="120"/>
      <c r="D802" s="120"/>
      <c r="E802" s="120"/>
      <c r="F802" s="120"/>
      <c r="G802" s="120"/>
    </row>
    <row r="803" spans="1:7" ht="13" x14ac:dyDescent="0.3">
      <c r="A803" s="118"/>
      <c r="C803" s="120"/>
      <c r="D803" s="120"/>
      <c r="E803" s="120"/>
      <c r="F803" s="120"/>
      <c r="G803" s="120"/>
    </row>
    <row r="804" spans="1:7" ht="13" x14ac:dyDescent="0.3">
      <c r="A804" s="118"/>
      <c r="C804" s="120"/>
      <c r="D804" s="120"/>
      <c r="E804" s="120"/>
      <c r="F804" s="120"/>
      <c r="G804" s="120"/>
    </row>
    <row r="805" spans="1:7" ht="13" x14ac:dyDescent="0.3">
      <c r="A805" s="118"/>
      <c r="C805" s="120"/>
      <c r="D805" s="120"/>
      <c r="E805" s="120"/>
      <c r="F805" s="120"/>
      <c r="G805" s="120"/>
    </row>
    <row r="806" spans="1:7" ht="13" x14ac:dyDescent="0.3">
      <c r="A806" s="118"/>
      <c r="C806" s="120"/>
      <c r="D806" s="120"/>
      <c r="E806" s="120"/>
      <c r="F806" s="120"/>
      <c r="G806" s="120"/>
    </row>
    <row r="807" spans="1:7" ht="13" x14ac:dyDescent="0.3">
      <c r="A807" s="118"/>
      <c r="C807" s="120"/>
      <c r="D807" s="120"/>
      <c r="E807" s="120"/>
      <c r="F807" s="120"/>
      <c r="G807" s="120"/>
    </row>
    <row r="808" spans="1:7" ht="13" x14ac:dyDescent="0.3">
      <c r="A808" s="118"/>
      <c r="C808" s="120"/>
      <c r="D808" s="120"/>
      <c r="E808" s="120"/>
      <c r="F808" s="120"/>
      <c r="G808" s="120"/>
    </row>
    <row r="809" spans="1:7" ht="13" x14ac:dyDescent="0.3">
      <c r="A809" s="118"/>
      <c r="C809" s="120"/>
      <c r="D809" s="120"/>
      <c r="E809" s="120"/>
      <c r="F809" s="120"/>
      <c r="G809" s="120"/>
    </row>
    <row r="810" spans="1:7" ht="13" x14ac:dyDescent="0.3">
      <c r="A810" s="118"/>
      <c r="C810" s="120"/>
      <c r="D810" s="120"/>
      <c r="E810" s="120"/>
      <c r="F810" s="120"/>
      <c r="G810" s="120"/>
    </row>
    <row r="811" spans="1:7" ht="13" x14ac:dyDescent="0.3">
      <c r="A811" s="118"/>
      <c r="C811" s="120"/>
      <c r="D811" s="120"/>
      <c r="E811" s="120"/>
      <c r="F811" s="120"/>
      <c r="G811" s="120"/>
    </row>
    <row r="812" spans="1:7" ht="13" x14ac:dyDescent="0.3">
      <c r="A812" s="118"/>
      <c r="C812" s="120"/>
      <c r="D812" s="120"/>
      <c r="E812" s="120"/>
      <c r="F812" s="120"/>
      <c r="G812" s="120"/>
    </row>
    <row r="813" spans="1:7" ht="13" x14ac:dyDescent="0.3">
      <c r="A813" s="118"/>
      <c r="C813" s="120"/>
      <c r="D813" s="120"/>
      <c r="E813" s="120"/>
      <c r="F813" s="120"/>
      <c r="G813" s="120"/>
    </row>
    <row r="814" spans="1:7" ht="13" x14ac:dyDescent="0.3">
      <c r="A814" s="118"/>
      <c r="C814" s="120"/>
      <c r="D814" s="120"/>
      <c r="E814" s="120"/>
      <c r="F814" s="120"/>
      <c r="G814" s="120"/>
    </row>
    <row r="815" spans="1:7" ht="13" x14ac:dyDescent="0.3">
      <c r="A815" s="118"/>
      <c r="C815" s="120"/>
      <c r="D815" s="120"/>
      <c r="E815" s="120"/>
      <c r="F815" s="120"/>
      <c r="G815" s="120"/>
    </row>
    <row r="816" spans="1:7" ht="13" x14ac:dyDescent="0.3">
      <c r="A816" s="118"/>
      <c r="C816" s="120"/>
      <c r="D816" s="120"/>
      <c r="E816" s="120"/>
      <c r="F816" s="120"/>
      <c r="G816" s="120"/>
    </row>
    <row r="817" spans="1:7" ht="13" x14ac:dyDescent="0.3">
      <c r="A817" s="118"/>
      <c r="C817" s="120"/>
      <c r="D817" s="120"/>
      <c r="E817" s="120"/>
      <c r="F817" s="120"/>
      <c r="G817" s="120"/>
    </row>
    <row r="818" spans="1:7" ht="13" x14ac:dyDescent="0.3">
      <c r="A818" s="118"/>
      <c r="C818" s="120"/>
      <c r="D818" s="120"/>
      <c r="E818" s="120"/>
      <c r="F818" s="120"/>
      <c r="G818" s="120"/>
    </row>
    <row r="819" spans="1:7" ht="13" x14ac:dyDescent="0.3">
      <c r="A819" s="118"/>
      <c r="C819" s="120"/>
      <c r="D819" s="120"/>
      <c r="E819" s="120"/>
      <c r="F819" s="120"/>
      <c r="G819" s="120"/>
    </row>
    <row r="820" spans="1:7" ht="13" x14ac:dyDescent="0.3">
      <c r="A820" s="118"/>
      <c r="C820" s="120"/>
      <c r="D820" s="120"/>
      <c r="E820" s="120"/>
      <c r="F820" s="120"/>
      <c r="G820" s="120"/>
    </row>
    <row r="821" spans="1:7" ht="13" x14ac:dyDescent="0.3">
      <c r="A821" s="118"/>
      <c r="C821" s="120"/>
      <c r="D821" s="120"/>
      <c r="E821" s="120"/>
      <c r="F821" s="120"/>
      <c r="G821" s="120"/>
    </row>
    <row r="822" spans="1:7" ht="13" x14ac:dyDescent="0.3">
      <c r="A822" s="118"/>
      <c r="C822" s="120"/>
      <c r="D822" s="120"/>
      <c r="E822" s="120"/>
      <c r="F822" s="120"/>
      <c r="G822" s="120"/>
    </row>
    <row r="823" spans="1:7" ht="13" x14ac:dyDescent="0.3">
      <c r="A823" s="118"/>
      <c r="C823" s="120"/>
      <c r="D823" s="120"/>
      <c r="E823" s="120"/>
      <c r="F823" s="120"/>
      <c r="G823" s="120"/>
    </row>
    <row r="824" spans="1:7" ht="13" x14ac:dyDescent="0.3">
      <c r="A824" s="118"/>
      <c r="C824" s="120"/>
      <c r="D824" s="120"/>
      <c r="E824" s="120"/>
      <c r="F824" s="120"/>
      <c r="G824" s="120"/>
    </row>
    <row r="825" spans="1:7" ht="13" x14ac:dyDescent="0.3">
      <c r="A825" s="118"/>
      <c r="C825" s="120"/>
      <c r="D825" s="120"/>
      <c r="E825" s="120"/>
      <c r="F825" s="120"/>
      <c r="G825" s="120"/>
    </row>
    <row r="826" spans="1:7" ht="13" x14ac:dyDescent="0.3">
      <c r="A826" s="118"/>
      <c r="C826" s="120"/>
      <c r="D826" s="120"/>
      <c r="E826" s="120"/>
      <c r="F826" s="120"/>
      <c r="G826" s="120"/>
    </row>
    <row r="827" spans="1:7" ht="13" x14ac:dyDescent="0.3">
      <c r="A827" s="118"/>
      <c r="C827" s="120"/>
      <c r="D827" s="120"/>
      <c r="E827" s="120"/>
      <c r="F827" s="120"/>
      <c r="G827" s="120"/>
    </row>
    <row r="828" spans="1:7" ht="13" x14ac:dyDescent="0.3">
      <c r="A828" s="118"/>
      <c r="C828" s="120"/>
      <c r="D828" s="120"/>
      <c r="E828" s="120"/>
      <c r="F828" s="120"/>
      <c r="G828" s="120"/>
    </row>
    <row r="829" spans="1:7" ht="13" x14ac:dyDescent="0.3">
      <c r="A829" s="118"/>
      <c r="C829" s="120"/>
      <c r="D829" s="120"/>
      <c r="E829" s="120"/>
      <c r="F829" s="120"/>
      <c r="G829" s="120"/>
    </row>
    <row r="830" spans="1:7" ht="13" x14ac:dyDescent="0.3">
      <c r="A830" s="118"/>
      <c r="C830" s="120"/>
      <c r="D830" s="120"/>
      <c r="E830" s="120"/>
      <c r="F830" s="120"/>
      <c r="G830" s="120"/>
    </row>
    <row r="831" spans="1:7" ht="13" x14ac:dyDescent="0.3">
      <c r="A831" s="118"/>
      <c r="C831" s="120"/>
      <c r="D831" s="120"/>
      <c r="E831" s="120"/>
      <c r="F831" s="120"/>
      <c r="G831" s="120"/>
    </row>
    <row r="832" spans="1:7" ht="13" x14ac:dyDescent="0.3">
      <c r="A832" s="118"/>
      <c r="C832" s="120"/>
      <c r="D832" s="120"/>
      <c r="E832" s="120"/>
      <c r="F832" s="120"/>
      <c r="G832" s="120"/>
    </row>
    <row r="833" spans="1:7" ht="13" x14ac:dyDescent="0.3">
      <c r="A833" s="118"/>
      <c r="C833" s="120"/>
      <c r="D833" s="120"/>
      <c r="E833" s="120"/>
      <c r="F833" s="120"/>
      <c r="G833" s="120"/>
    </row>
    <row r="834" spans="1:7" ht="13" x14ac:dyDescent="0.3">
      <c r="A834" s="118"/>
      <c r="C834" s="120"/>
      <c r="D834" s="120"/>
      <c r="E834" s="120"/>
      <c r="F834" s="120"/>
      <c r="G834" s="120"/>
    </row>
    <row r="835" spans="1:7" ht="13" x14ac:dyDescent="0.3">
      <c r="A835" s="118"/>
      <c r="C835" s="120"/>
      <c r="D835" s="120"/>
      <c r="E835" s="120"/>
      <c r="F835" s="120"/>
      <c r="G835" s="120"/>
    </row>
    <row r="836" spans="1:7" ht="13" x14ac:dyDescent="0.3">
      <c r="A836" s="118"/>
      <c r="C836" s="120"/>
      <c r="D836" s="120"/>
      <c r="E836" s="120"/>
      <c r="F836" s="120"/>
      <c r="G836" s="120"/>
    </row>
    <row r="837" spans="1:7" ht="13" x14ac:dyDescent="0.3">
      <c r="A837" s="118"/>
      <c r="C837" s="120"/>
      <c r="D837" s="120"/>
      <c r="E837" s="120"/>
      <c r="F837" s="120"/>
      <c r="G837" s="120"/>
    </row>
    <row r="838" spans="1:7" ht="13" x14ac:dyDescent="0.3">
      <c r="A838" s="118"/>
      <c r="C838" s="120"/>
      <c r="D838" s="120"/>
      <c r="E838" s="120"/>
      <c r="F838" s="120"/>
      <c r="G838" s="120"/>
    </row>
    <row r="839" spans="1:7" ht="13" x14ac:dyDescent="0.3">
      <c r="A839" s="118"/>
      <c r="C839" s="120"/>
      <c r="D839" s="120"/>
      <c r="E839" s="120"/>
      <c r="F839" s="120"/>
      <c r="G839" s="120"/>
    </row>
    <row r="840" spans="1:7" ht="13" x14ac:dyDescent="0.3">
      <c r="A840" s="118"/>
      <c r="C840" s="120"/>
      <c r="D840" s="120"/>
      <c r="E840" s="120"/>
      <c r="F840" s="120"/>
      <c r="G840" s="120"/>
    </row>
    <row r="841" spans="1:7" ht="13" x14ac:dyDescent="0.3">
      <c r="A841" s="118"/>
      <c r="C841" s="120"/>
      <c r="D841" s="120"/>
      <c r="E841" s="120"/>
      <c r="F841" s="120"/>
      <c r="G841" s="120"/>
    </row>
    <row r="842" spans="1:7" ht="13" x14ac:dyDescent="0.3">
      <c r="A842" s="118"/>
      <c r="C842" s="120"/>
      <c r="D842" s="120"/>
      <c r="E842" s="120"/>
      <c r="F842" s="120"/>
      <c r="G842" s="120"/>
    </row>
    <row r="843" spans="1:7" ht="13" x14ac:dyDescent="0.3">
      <c r="A843" s="118"/>
      <c r="C843" s="120"/>
      <c r="D843" s="120"/>
      <c r="E843" s="120"/>
      <c r="F843" s="120"/>
      <c r="G843" s="120"/>
    </row>
    <row r="844" spans="1:7" ht="13" x14ac:dyDescent="0.3">
      <c r="A844" s="118"/>
      <c r="C844" s="120"/>
      <c r="D844" s="120"/>
      <c r="E844" s="120"/>
      <c r="F844" s="120"/>
      <c r="G844" s="120"/>
    </row>
    <row r="845" spans="1:7" ht="13" x14ac:dyDescent="0.3">
      <c r="A845" s="118"/>
      <c r="C845" s="120"/>
      <c r="D845" s="120"/>
      <c r="E845" s="120"/>
      <c r="F845" s="120"/>
      <c r="G845" s="120"/>
    </row>
    <row r="846" spans="1:7" ht="13" x14ac:dyDescent="0.3">
      <c r="A846" s="118"/>
      <c r="C846" s="120"/>
      <c r="D846" s="120"/>
      <c r="E846" s="120"/>
      <c r="F846" s="120"/>
      <c r="G846" s="120"/>
    </row>
    <row r="847" spans="1:7" ht="13" x14ac:dyDescent="0.3">
      <c r="A847" s="118"/>
      <c r="C847" s="120"/>
      <c r="D847" s="120"/>
      <c r="E847" s="120"/>
      <c r="F847" s="120"/>
      <c r="G847" s="120"/>
    </row>
    <row r="848" spans="1:7" ht="13" x14ac:dyDescent="0.3">
      <c r="A848" s="118"/>
      <c r="C848" s="120"/>
      <c r="D848" s="120"/>
      <c r="E848" s="120"/>
      <c r="F848" s="120"/>
      <c r="G848" s="120"/>
    </row>
    <row r="849" spans="1:7" ht="13" x14ac:dyDescent="0.3">
      <c r="A849" s="118"/>
      <c r="C849" s="120"/>
      <c r="D849" s="120"/>
      <c r="E849" s="120"/>
      <c r="F849" s="120"/>
      <c r="G849" s="120"/>
    </row>
    <row r="850" spans="1:7" ht="13" x14ac:dyDescent="0.3">
      <c r="A850" s="118"/>
      <c r="C850" s="120"/>
      <c r="D850" s="120"/>
      <c r="E850" s="120"/>
      <c r="F850" s="120"/>
      <c r="G850" s="120"/>
    </row>
    <row r="851" spans="1:7" ht="13" x14ac:dyDescent="0.3">
      <c r="A851" s="118"/>
      <c r="C851" s="120"/>
      <c r="D851" s="120"/>
      <c r="E851" s="120"/>
      <c r="F851" s="120"/>
      <c r="G851" s="120"/>
    </row>
    <row r="852" spans="1:7" ht="13" x14ac:dyDescent="0.3">
      <c r="A852" s="118"/>
      <c r="C852" s="120"/>
      <c r="D852" s="120"/>
      <c r="E852" s="120"/>
      <c r="F852" s="120"/>
      <c r="G852" s="120"/>
    </row>
    <row r="853" spans="1:7" ht="13" x14ac:dyDescent="0.3">
      <c r="A853" s="118"/>
      <c r="C853" s="120"/>
      <c r="D853" s="120"/>
      <c r="E853" s="120"/>
      <c r="F853" s="120"/>
      <c r="G853" s="120"/>
    </row>
    <row r="854" spans="1:7" ht="13" x14ac:dyDescent="0.3">
      <c r="A854" s="118"/>
      <c r="C854" s="120"/>
      <c r="D854" s="120"/>
      <c r="E854" s="120"/>
      <c r="F854" s="120"/>
      <c r="G854" s="120"/>
    </row>
    <row r="855" spans="1:7" ht="13" x14ac:dyDescent="0.3">
      <c r="A855" s="118"/>
      <c r="C855" s="120"/>
      <c r="D855" s="120"/>
      <c r="E855" s="120"/>
      <c r="F855" s="120"/>
      <c r="G855" s="120"/>
    </row>
    <row r="856" spans="1:7" ht="13" x14ac:dyDescent="0.3">
      <c r="A856" s="118"/>
      <c r="C856" s="120"/>
      <c r="D856" s="120"/>
      <c r="E856" s="120"/>
      <c r="F856" s="120"/>
      <c r="G856" s="120"/>
    </row>
    <row r="857" spans="1:7" ht="13" x14ac:dyDescent="0.3">
      <c r="A857" s="118"/>
      <c r="C857" s="120"/>
      <c r="D857" s="120"/>
      <c r="E857" s="120"/>
      <c r="F857" s="120"/>
      <c r="G857" s="120"/>
    </row>
    <row r="858" spans="1:7" ht="13" x14ac:dyDescent="0.3">
      <c r="A858" s="118"/>
      <c r="C858" s="120"/>
      <c r="D858" s="120"/>
      <c r="E858" s="120"/>
      <c r="F858" s="120"/>
      <c r="G858" s="120"/>
    </row>
    <row r="859" spans="1:7" ht="13" x14ac:dyDescent="0.3">
      <c r="A859" s="118"/>
      <c r="C859" s="120"/>
      <c r="D859" s="120"/>
      <c r="E859" s="120"/>
      <c r="F859" s="120"/>
      <c r="G859" s="120"/>
    </row>
    <row r="860" spans="1:7" ht="13" x14ac:dyDescent="0.3">
      <c r="A860" s="118"/>
      <c r="C860" s="120"/>
      <c r="D860" s="120"/>
      <c r="E860" s="120"/>
      <c r="F860" s="120"/>
      <c r="G860" s="120"/>
    </row>
    <row r="861" spans="1:7" ht="13" x14ac:dyDescent="0.3">
      <c r="A861" s="118"/>
      <c r="C861" s="120"/>
      <c r="D861" s="120"/>
      <c r="E861" s="120"/>
      <c r="F861" s="120"/>
      <c r="G861" s="120"/>
    </row>
    <row r="862" spans="1:7" ht="13" x14ac:dyDescent="0.3">
      <c r="A862" s="118"/>
      <c r="C862" s="120"/>
      <c r="D862" s="120"/>
      <c r="E862" s="120"/>
      <c r="F862" s="120"/>
      <c r="G862" s="120"/>
    </row>
    <row r="863" spans="1:7" ht="13" x14ac:dyDescent="0.3">
      <c r="A863" s="118"/>
      <c r="C863" s="120"/>
      <c r="D863" s="120"/>
      <c r="E863" s="120"/>
      <c r="F863" s="120"/>
      <c r="G863" s="120"/>
    </row>
    <row r="864" spans="1:7" ht="13" x14ac:dyDescent="0.3">
      <c r="A864" s="118"/>
      <c r="C864" s="120"/>
      <c r="D864" s="120"/>
      <c r="E864" s="120"/>
      <c r="F864" s="120"/>
      <c r="G864" s="120"/>
    </row>
    <row r="865" spans="1:7" ht="13" x14ac:dyDescent="0.3">
      <c r="A865" s="118"/>
      <c r="C865" s="120"/>
      <c r="D865" s="120"/>
      <c r="E865" s="120"/>
      <c r="F865" s="120"/>
      <c r="G865" s="120"/>
    </row>
    <row r="866" spans="1:7" ht="13" x14ac:dyDescent="0.3">
      <c r="A866" s="118"/>
      <c r="C866" s="120"/>
      <c r="D866" s="120"/>
      <c r="E866" s="120"/>
      <c r="F866" s="120"/>
      <c r="G866" s="120"/>
    </row>
    <row r="867" spans="1:7" ht="13" x14ac:dyDescent="0.3">
      <c r="A867" s="118"/>
      <c r="C867" s="120"/>
      <c r="D867" s="120"/>
      <c r="E867" s="120"/>
      <c r="F867" s="120"/>
      <c r="G867" s="120"/>
    </row>
    <row r="868" spans="1:7" ht="13" x14ac:dyDescent="0.3">
      <c r="A868" s="118"/>
      <c r="C868" s="120"/>
      <c r="D868" s="120"/>
      <c r="E868" s="120"/>
      <c r="F868" s="120"/>
      <c r="G868" s="120"/>
    </row>
    <row r="869" spans="1:7" ht="13" x14ac:dyDescent="0.3">
      <c r="A869" s="118"/>
      <c r="C869" s="120"/>
      <c r="D869" s="120"/>
      <c r="E869" s="120"/>
      <c r="F869" s="120"/>
      <c r="G869" s="120"/>
    </row>
    <row r="870" spans="1:7" ht="13" x14ac:dyDescent="0.3">
      <c r="A870" s="118"/>
      <c r="C870" s="120"/>
      <c r="D870" s="120"/>
      <c r="E870" s="120"/>
      <c r="F870" s="120"/>
      <c r="G870" s="120"/>
    </row>
    <row r="871" spans="1:7" ht="13" x14ac:dyDescent="0.3">
      <c r="A871" s="118"/>
      <c r="C871" s="120"/>
      <c r="D871" s="120"/>
      <c r="E871" s="120"/>
      <c r="F871" s="120"/>
      <c r="G871" s="120"/>
    </row>
    <row r="872" spans="1:7" ht="13" x14ac:dyDescent="0.3">
      <c r="A872" s="118"/>
      <c r="C872" s="120"/>
      <c r="D872" s="120"/>
      <c r="E872" s="120"/>
      <c r="F872" s="120"/>
      <c r="G872" s="120"/>
    </row>
    <row r="873" spans="1:7" ht="13" x14ac:dyDescent="0.3">
      <c r="A873" s="118"/>
      <c r="C873" s="120"/>
      <c r="D873" s="120"/>
      <c r="E873" s="120"/>
      <c r="F873" s="120"/>
      <c r="G873" s="120"/>
    </row>
    <row r="874" spans="1:7" ht="13" x14ac:dyDescent="0.3">
      <c r="A874" s="118"/>
      <c r="C874" s="120"/>
      <c r="D874" s="120"/>
      <c r="E874" s="120"/>
      <c r="F874" s="120"/>
      <c r="G874" s="120"/>
    </row>
    <row r="875" spans="1:7" ht="13" x14ac:dyDescent="0.3">
      <c r="A875" s="118"/>
      <c r="C875" s="120"/>
      <c r="D875" s="120"/>
      <c r="E875" s="120"/>
      <c r="F875" s="120"/>
      <c r="G875" s="120"/>
    </row>
    <row r="876" spans="1:7" ht="13" x14ac:dyDescent="0.3">
      <c r="A876" s="118"/>
      <c r="C876" s="120"/>
      <c r="D876" s="120"/>
      <c r="E876" s="120"/>
      <c r="F876" s="120"/>
      <c r="G876" s="120"/>
    </row>
    <row r="877" spans="1:7" ht="13" x14ac:dyDescent="0.3">
      <c r="A877" s="118"/>
      <c r="C877" s="120"/>
      <c r="D877" s="120"/>
      <c r="E877" s="120"/>
      <c r="F877" s="120"/>
      <c r="G877" s="120"/>
    </row>
    <row r="878" spans="1:7" ht="13" x14ac:dyDescent="0.3">
      <c r="A878" s="118"/>
      <c r="C878" s="120"/>
      <c r="D878" s="120"/>
      <c r="E878" s="120"/>
      <c r="F878" s="120"/>
      <c r="G878" s="120"/>
    </row>
    <row r="879" spans="1:7" ht="13" x14ac:dyDescent="0.3">
      <c r="A879" s="118"/>
      <c r="C879" s="120"/>
      <c r="D879" s="120"/>
      <c r="E879" s="120"/>
      <c r="F879" s="120"/>
      <c r="G879" s="120"/>
    </row>
    <row r="880" spans="1:7" ht="13" x14ac:dyDescent="0.3">
      <c r="A880" s="118"/>
      <c r="C880" s="120"/>
      <c r="D880" s="120"/>
      <c r="E880" s="120"/>
      <c r="F880" s="120"/>
      <c r="G880" s="120"/>
    </row>
    <row r="881" spans="1:7" ht="13" x14ac:dyDescent="0.3">
      <c r="A881" s="118"/>
      <c r="C881" s="120"/>
      <c r="D881" s="120"/>
      <c r="E881" s="120"/>
      <c r="F881" s="120"/>
      <c r="G881" s="120"/>
    </row>
    <row r="882" spans="1:7" ht="13" x14ac:dyDescent="0.3">
      <c r="A882" s="118"/>
      <c r="C882" s="120"/>
      <c r="D882" s="120"/>
      <c r="E882" s="120"/>
      <c r="F882" s="120"/>
      <c r="G882" s="120"/>
    </row>
    <row r="883" spans="1:7" ht="13" x14ac:dyDescent="0.3">
      <c r="A883" s="118"/>
      <c r="C883" s="120"/>
      <c r="D883" s="120"/>
      <c r="E883" s="120"/>
      <c r="F883" s="120"/>
      <c r="G883" s="120"/>
    </row>
    <row r="884" spans="1:7" ht="13" x14ac:dyDescent="0.3">
      <c r="A884" s="118"/>
      <c r="C884" s="120"/>
      <c r="D884" s="120"/>
      <c r="E884" s="120"/>
      <c r="F884" s="120"/>
      <c r="G884" s="120"/>
    </row>
    <row r="885" spans="1:7" ht="13" x14ac:dyDescent="0.3">
      <c r="A885" s="118"/>
      <c r="C885" s="120"/>
      <c r="D885" s="120"/>
      <c r="E885" s="120"/>
      <c r="F885" s="120"/>
      <c r="G885" s="120"/>
    </row>
    <row r="886" spans="1:7" ht="13" x14ac:dyDescent="0.3">
      <c r="A886" s="118"/>
      <c r="C886" s="120"/>
      <c r="D886" s="120"/>
      <c r="E886" s="120"/>
      <c r="F886" s="120"/>
      <c r="G886" s="120"/>
    </row>
    <row r="887" spans="1:7" ht="13" x14ac:dyDescent="0.3">
      <c r="A887" s="118"/>
      <c r="C887" s="120"/>
      <c r="D887" s="120"/>
      <c r="E887" s="120"/>
      <c r="F887" s="120"/>
      <c r="G887" s="120"/>
    </row>
    <row r="888" spans="1:7" ht="13" x14ac:dyDescent="0.3">
      <c r="A888" s="118"/>
      <c r="C888" s="120"/>
      <c r="D888" s="120"/>
      <c r="E888" s="120"/>
      <c r="F888" s="120"/>
      <c r="G888" s="120"/>
    </row>
    <row r="889" spans="1:7" ht="13" x14ac:dyDescent="0.3">
      <c r="A889" s="118"/>
      <c r="C889" s="120"/>
      <c r="D889" s="120"/>
      <c r="E889" s="120"/>
      <c r="F889" s="120"/>
      <c r="G889" s="120"/>
    </row>
    <row r="890" spans="1:7" ht="13" x14ac:dyDescent="0.3">
      <c r="A890" s="118"/>
      <c r="C890" s="120"/>
      <c r="D890" s="120"/>
      <c r="E890" s="120"/>
      <c r="F890" s="120"/>
      <c r="G890" s="120"/>
    </row>
    <row r="891" spans="1:7" ht="13" x14ac:dyDescent="0.3">
      <c r="A891" s="118"/>
      <c r="C891" s="120"/>
      <c r="D891" s="120"/>
      <c r="E891" s="120"/>
      <c r="F891" s="120"/>
      <c r="G891" s="120"/>
    </row>
    <row r="892" spans="1:7" ht="13" x14ac:dyDescent="0.3">
      <c r="A892" s="118"/>
      <c r="C892" s="120"/>
      <c r="D892" s="120"/>
      <c r="E892" s="120"/>
      <c r="F892" s="120"/>
      <c r="G892" s="120"/>
    </row>
    <row r="893" spans="1:7" ht="13" x14ac:dyDescent="0.3">
      <c r="A893" s="118"/>
      <c r="C893" s="120"/>
      <c r="D893" s="120"/>
      <c r="E893" s="120"/>
      <c r="F893" s="120"/>
      <c r="G893" s="120"/>
    </row>
    <row r="894" spans="1:7" ht="13" x14ac:dyDescent="0.3">
      <c r="A894" s="118"/>
      <c r="C894" s="120"/>
      <c r="D894" s="120"/>
      <c r="E894" s="120"/>
      <c r="F894" s="120"/>
      <c r="G894" s="120"/>
    </row>
    <row r="895" spans="1:7" ht="13" x14ac:dyDescent="0.3">
      <c r="A895" s="118"/>
      <c r="C895" s="120"/>
      <c r="D895" s="120"/>
      <c r="E895" s="120"/>
      <c r="F895" s="120"/>
      <c r="G895" s="120"/>
    </row>
    <row r="896" spans="1:7" ht="13" x14ac:dyDescent="0.3">
      <c r="A896" s="118"/>
      <c r="C896" s="120"/>
      <c r="D896" s="120"/>
      <c r="E896" s="120"/>
      <c r="F896" s="120"/>
      <c r="G896" s="120"/>
    </row>
    <row r="897" spans="1:7" ht="13" x14ac:dyDescent="0.3">
      <c r="A897" s="118"/>
      <c r="C897" s="120"/>
      <c r="D897" s="120"/>
      <c r="E897" s="120"/>
      <c r="F897" s="120"/>
      <c r="G897" s="120"/>
    </row>
    <row r="898" spans="1:7" ht="13" x14ac:dyDescent="0.3">
      <c r="A898" s="118"/>
      <c r="C898" s="120"/>
      <c r="D898" s="120"/>
      <c r="E898" s="120"/>
      <c r="F898" s="120"/>
      <c r="G898" s="120"/>
    </row>
    <row r="899" spans="1:7" ht="13" x14ac:dyDescent="0.3">
      <c r="A899" s="118"/>
      <c r="C899" s="120"/>
      <c r="D899" s="120"/>
      <c r="E899" s="120"/>
      <c r="F899" s="120"/>
      <c r="G899" s="120"/>
    </row>
    <row r="900" spans="1:7" ht="13" x14ac:dyDescent="0.3">
      <c r="A900" s="118"/>
      <c r="C900" s="120"/>
      <c r="D900" s="120"/>
      <c r="E900" s="120"/>
      <c r="F900" s="120"/>
      <c r="G900" s="120"/>
    </row>
    <row r="901" spans="1:7" ht="13" x14ac:dyDescent="0.3">
      <c r="A901" s="118"/>
      <c r="C901" s="120"/>
      <c r="D901" s="120"/>
      <c r="E901" s="120"/>
      <c r="F901" s="120"/>
      <c r="G901" s="120"/>
    </row>
    <row r="902" spans="1:7" ht="13" x14ac:dyDescent="0.3">
      <c r="A902" s="118"/>
      <c r="C902" s="120"/>
      <c r="D902" s="120"/>
      <c r="E902" s="120"/>
      <c r="F902" s="120"/>
      <c r="G902" s="120"/>
    </row>
    <row r="903" spans="1:7" ht="13" x14ac:dyDescent="0.3">
      <c r="A903" s="118"/>
      <c r="C903" s="120"/>
      <c r="D903" s="120"/>
      <c r="E903" s="120"/>
      <c r="F903" s="120"/>
      <c r="G903" s="120"/>
    </row>
    <row r="904" spans="1:7" ht="13" x14ac:dyDescent="0.3">
      <c r="A904" s="118"/>
      <c r="C904" s="120"/>
      <c r="D904" s="120"/>
      <c r="E904" s="120"/>
      <c r="F904" s="120"/>
      <c r="G904" s="120"/>
    </row>
    <row r="905" spans="1:7" ht="13" x14ac:dyDescent="0.3">
      <c r="A905" s="118"/>
      <c r="C905" s="120"/>
      <c r="D905" s="120"/>
      <c r="E905" s="120"/>
      <c r="F905" s="120"/>
      <c r="G905" s="120"/>
    </row>
    <row r="906" spans="1:7" ht="13" x14ac:dyDescent="0.3">
      <c r="A906" s="118"/>
      <c r="C906" s="120"/>
      <c r="D906" s="120"/>
      <c r="E906" s="120"/>
      <c r="F906" s="120"/>
      <c r="G906" s="120"/>
    </row>
    <row r="907" spans="1:7" ht="13" x14ac:dyDescent="0.3">
      <c r="A907" s="118"/>
      <c r="C907" s="120"/>
      <c r="D907" s="120"/>
      <c r="E907" s="120"/>
      <c r="F907" s="120"/>
      <c r="G907" s="120"/>
    </row>
    <row r="908" spans="1:7" ht="13" x14ac:dyDescent="0.3">
      <c r="A908" s="118"/>
      <c r="C908" s="120"/>
      <c r="D908" s="120"/>
      <c r="E908" s="120"/>
      <c r="F908" s="120"/>
      <c r="G908" s="120"/>
    </row>
    <row r="909" spans="1:7" ht="13" x14ac:dyDescent="0.3">
      <c r="A909" s="118"/>
      <c r="C909" s="120"/>
      <c r="D909" s="120"/>
      <c r="E909" s="120"/>
      <c r="F909" s="120"/>
      <c r="G909" s="120"/>
    </row>
    <row r="910" spans="1:7" ht="13" x14ac:dyDescent="0.3">
      <c r="A910" s="118"/>
      <c r="C910" s="120"/>
      <c r="D910" s="120"/>
      <c r="E910" s="120"/>
      <c r="F910" s="120"/>
      <c r="G910" s="120"/>
    </row>
    <row r="911" spans="1:7" ht="13" x14ac:dyDescent="0.3">
      <c r="A911" s="118"/>
      <c r="C911" s="120"/>
      <c r="D911" s="120"/>
      <c r="E911" s="120"/>
      <c r="F911" s="120"/>
      <c r="G911" s="120"/>
    </row>
    <row r="912" spans="1:7" ht="13" x14ac:dyDescent="0.3">
      <c r="A912" s="118"/>
      <c r="C912" s="120"/>
      <c r="D912" s="120"/>
      <c r="E912" s="120"/>
      <c r="F912" s="120"/>
      <c r="G912" s="120"/>
    </row>
    <row r="913" spans="1:7" ht="13" x14ac:dyDescent="0.3">
      <c r="A913" s="118"/>
      <c r="C913" s="120"/>
      <c r="D913" s="120"/>
      <c r="E913" s="120"/>
      <c r="F913" s="120"/>
      <c r="G913" s="120"/>
    </row>
    <row r="914" spans="1:7" ht="13" x14ac:dyDescent="0.3">
      <c r="A914" s="118"/>
      <c r="C914" s="120"/>
      <c r="D914" s="120"/>
      <c r="E914" s="120"/>
      <c r="F914" s="120"/>
      <c r="G914" s="120"/>
    </row>
    <row r="915" spans="1:7" ht="13" x14ac:dyDescent="0.3">
      <c r="A915" s="118"/>
      <c r="C915" s="120"/>
      <c r="D915" s="120"/>
      <c r="E915" s="120"/>
      <c r="F915" s="120"/>
      <c r="G915" s="120"/>
    </row>
    <row r="916" spans="1:7" ht="13" x14ac:dyDescent="0.3">
      <c r="A916" s="118"/>
      <c r="C916" s="120"/>
      <c r="D916" s="120"/>
      <c r="E916" s="120"/>
      <c r="F916" s="120"/>
      <c r="G916" s="120"/>
    </row>
    <row r="917" spans="1:7" ht="13" x14ac:dyDescent="0.3">
      <c r="A917" s="118"/>
      <c r="C917" s="120"/>
      <c r="D917" s="120"/>
      <c r="E917" s="120"/>
      <c r="F917" s="120"/>
      <c r="G917" s="120"/>
    </row>
    <row r="918" spans="1:7" ht="13" x14ac:dyDescent="0.3">
      <c r="A918" s="118"/>
      <c r="C918" s="120"/>
      <c r="D918" s="120"/>
      <c r="E918" s="120"/>
      <c r="F918" s="120"/>
      <c r="G918" s="120"/>
    </row>
    <row r="919" spans="1:7" ht="13" x14ac:dyDescent="0.3">
      <c r="A919" s="118"/>
      <c r="C919" s="120"/>
      <c r="D919" s="120"/>
      <c r="E919" s="120"/>
      <c r="F919" s="120"/>
      <c r="G919" s="120"/>
    </row>
    <row r="920" spans="1:7" ht="13" x14ac:dyDescent="0.3">
      <c r="A920" s="118"/>
      <c r="C920" s="120"/>
      <c r="D920" s="120"/>
      <c r="E920" s="120"/>
      <c r="F920" s="120"/>
      <c r="G920" s="120"/>
    </row>
    <row r="921" spans="1:7" ht="13" x14ac:dyDescent="0.3">
      <c r="A921" s="118"/>
      <c r="C921" s="120"/>
      <c r="D921" s="120"/>
      <c r="E921" s="120"/>
      <c r="F921" s="120"/>
      <c r="G921" s="120"/>
    </row>
    <row r="922" spans="1:7" ht="13" x14ac:dyDescent="0.3">
      <c r="A922" s="118"/>
      <c r="C922" s="120"/>
      <c r="D922" s="120"/>
      <c r="E922" s="120"/>
      <c r="F922" s="120"/>
      <c r="G922" s="120"/>
    </row>
    <row r="923" spans="1:7" ht="13" x14ac:dyDescent="0.3">
      <c r="A923" s="118"/>
      <c r="C923" s="120"/>
      <c r="D923" s="120"/>
      <c r="E923" s="120"/>
      <c r="F923" s="120"/>
      <c r="G923" s="120"/>
    </row>
    <row r="924" spans="1:7" ht="13" x14ac:dyDescent="0.3">
      <c r="A924" s="118"/>
      <c r="C924" s="120"/>
      <c r="D924" s="120"/>
      <c r="E924" s="120"/>
      <c r="F924" s="120"/>
      <c r="G924" s="120"/>
    </row>
    <row r="925" spans="1:7" ht="13" x14ac:dyDescent="0.3">
      <c r="A925" s="118"/>
      <c r="C925" s="120"/>
      <c r="D925" s="120"/>
      <c r="E925" s="120"/>
      <c r="F925" s="120"/>
      <c r="G925" s="120"/>
    </row>
    <row r="926" spans="1:7" ht="13" x14ac:dyDescent="0.3">
      <c r="A926" s="118"/>
      <c r="C926" s="120"/>
      <c r="D926" s="120"/>
      <c r="E926" s="120"/>
      <c r="F926" s="120"/>
      <c r="G926" s="120"/>
    </row>
    <row r="927" spans="1:7" ht="13" x14ac:dyDescent="0.3">
      <c r="A927" s="118"/>
      <c r="C927" s="120"/>
      <c r="D927" s="120"/>
      <c r="E927" s="120"/>
      <c r="F927" s="120"/>
      <c r="G927" s="120"/>
    </row>
    <row r="928" spans="1:7" ht="13" x14ac:dyDescent="0.3">
      <c r="A928" s="118"/>
      <c r="C928" s="120"/>
      <c r="D928" s="120"/>
      <c r="E928" s="120"/>
      <c r="F928" s="120"/>
      <c r="G928" s="120"/>
    </row>
    <row r="929" spans="1:7" ht="13" x14ac:dyDescent="0.3">
      <c r="A929" s="118"/>
      <c r="C929" s="120"/>
      <c r="D929" s="120"/>
      <c r="E929" s="120"/>
      <c r="F929" s="120"/>
      <c r="G929" s="120"/>
    </row>
    <row r="930" spans="1:7" ht="13" x14ac:dyDescent="0.3">
      <c r="A930" s="118"/>
      <c r="C930" s="120"/>
      <c r="D930" s="120"/>
      <c r="E930" s="120"/>
      <c r="F930" s="120"/>
      <c r="G930" s="120"/>
    </row>
    <row r="931" spans="1:7" ht="13" x14ac:dyDescent="0.3">
      <c r="A931" s="118"/>
      <c r="C931" s="120"/>
      <c r="D931" s="120"/>
      <c r="E931" s="120"/>
      <c r="F931" s="120"/>
      <c r="G931" s="120"/>
    </row>
    <row r="932" spans="1:7" ht="13" x14ac:dyDescent="0.3">
      <c r="A932" s="118"/>
      <c r="C932" s="120"/>
      <c r="D932" s="120"/>
      <c r="E932" s="120"/>
      <c r="F932" s="120"/>
      <c r="G932" s="120"/>
    </row>
    <row r="933" spans="1:7" ht="13" x14ac:dyDescent="0.3">
      <c r="A933" s="118"/>
      <c r="C933" s="120"/>
      <c r="D933" s="120"/>
      <c r="E933" s="120"/>
      <c r="F933" s="120"/>
      <c r="G933" s="120"/>
    </row>
    <row r="934" spans="1:7" ht="13" x14ac:dyDescent="0.3">
      <c r="A934" s="118"/>
      <c r="C934" s="120"/>
      <c r="D934" s="120"/>
      <c r="E934" s="120"/>
      <c r="F934" s="120"/>
      <c r="G934" s="120"/>
    </row>
    <row r="935" spans="1:7" ht="13" x14ac:dyDescent="0.3">
      <c r="A935" s="118"/>
      <c r="C935" s="120"/>
      <c r="D935" s="120"/>
      <c r="E935" s="120"/>
      <c r="F935" s="120"/>
      <c r="G935" s="120"/>
    </row>
    <row r="936" spans="1:7" ht="13" x14ac:dyDescent="0.3">
      <c r="A936" s="118"/>
      <c r="C936" s="120"/>
      <c r="D936" s="120"/>
      <c r="E936" s="120"/>
      <c r="F936" s="120"/>
      <c r="G936" s="120"/>
    </row>
    <row r="937" spans="1:7" ht="13" x14ac:dyDescent="0.3">
      <c r="A937" s="118"/>
      <c r="C937" s="120"/>
      <c r="D937" s="120"/>
      <c r="E937" s="120"/>
      <c r="F937" s="120"/>
      <c r="G937" s="120"/>
    </row>
    <row r="938" spans="1:7" ht="13" x14ac:dyDescent="0.3">
      <c r="A938" s="118"/>
      <c r="C938" s="120"/>
      <c r="D938" s="120"/>
      <c r="E938" s="120"/>
      <c r="F938" s="120"/>
      <c r="G938" s="120"/>
    </row>
    <row r="939" spans="1:7" ht="13" x14ac:dyDescent="0.3">
      <c r="A939" s="118"/>
      <c r="C939" s="120"/>
      <c r="D939" s="120"/>
      <c r="E939" s="120"/>
      <c r="F939" s="120"/>
      <c r="G939" s="120"/>
    </row>
    <row r="940" spans="1:7" ht="13" x14ac:dyDescent="0.3">
      <c r="A940" s="118"/>
      <c r="C940" s="120"/>
      <c r="D940" s="120"/>
      <c r="E940" s="120"/>
      <c r="F940" s="120"/>
      <c r="G940" s="120"/>
    </row>
    <row r="941" spans="1:7" ht="13" x14ac:dyDescent="0.3">
      <c r="A941" s="118"/>
      <c r="C941" s="120"/>
      <c r="D941" s="120"/>
      <c r="E941" s="120"/>
      <c r="F941" s="120"/>
      <c r="G941" s="120"/>
    </row>
    <row r="942" spans="1:7" ht="13" x14ac:dyDescent="0.3">
      <c r="A942" s="118"/>
      <c r="C942" s="120"/>
      <c r="D942" s="120"/>
      <c r="E942" s="120"/>
      <c r="F942" s="120"/>
      <c r="G942" s="120"/>
    </row>
    <row r="943" spans="1:7" ht="13" x14ac:dyDescent="0.3">
      <c r="A943" s="118"/>
      <c r="C943" s="120"/>
      <c r="D943" s="120"/>
      <c r="E943" s="120"/>
      <c r="F943" s="120"/>
      <c r="G943" s="120"/>
    </row>
    <row r="944" spans="1:7" ht="13" x14ac:dyDescent="0.3">
      <c r="A944" s="118"/>
      <c r="C944" s="120"/>
      <c r="D944" s="120"/>
      <c r="E944" s="120"/>
      <c r="F944" s="120"/>
      <c r="G944" s="120"/>
    </row>
    <row r="945" spans="1:7" ht="13" x14ac:dyDescent="0.3">
      <c r="A945" s="118"/>
      <c r="C945" s="120"/>
      <c r="D945" s="120"/>
      <c r="E945" s="120"/>
      <c r="F945" s="120"/>
      <c r="G945" s="120"/>
    </row>
    <row r="946" spans="1:7" ht="13" x14ac:dyDescent="0.3">
      <c r="A946" s="118"/>
      <c r="C946" s="120"/>
      <c r="D946" s="120"/>
      <c r="E946" s="120"/>
      <c r="F946" s="120"/>
      <c r="G946" s="120"/>
    </row>
    <row r="947" spans="1:7" ht="13" x14ac:dyDescent="0.3">
      <c r="A947" s="118"/>
      <c r="C947" s="120"/>
      <c r="D947" s="120"/>
      <c r="E947" s="120"/>
      <c r="F947" s="120"/>
      <c r="G947" s="120"/>
    </row>
    <row r="948" spans="1:7" ht="13" x14ac:dyDescent="0.3">
      <c r="A948" s="118"/>
      <c r="C948" s="120"/>
      <c r="D948" s="120"/>
      <c r="E948" s="120"/>
      <c r="F948" s="120"/>
      <c r="G948" s="120"/>
    </row>
    <row r="949" spans="1:7" ht="13" x14ac:dyDescent="0.3">
      <c r="A949" s="118"/>
      <c r="C949" s="120"/>
      <c r="D949" s="120"/>
      <c r="E949" s="120"/>
      <c r="F949" s="120"/>
      <c r="G949" s="120"/>
    </row>
    <row r="950" spans="1:7" ht="13" x14ac:dyDescent="0.3">
      <c r="A950" s="118"/>
      <c r="C950" s="120"/>
      <c r="D950" s="120"/>
      <c r="E950" s="120"/>
      <c r="F950" s="120"/>
      <c r="G950" s="120"/>
    </row>
    <row r="951" spans="1:7" ht="13" x14ac:dyDescent="0.3">
      <c r="A951" s="118"/>
      <c r="C951" s="120"/>
      <c r="D951" s="120"/>
      <c r="E951" s="120"/>
      <c r="F951" s="120"/>
      <c r="G951" s="120"/>
    </row>
    <row r="952" spans="1:7" ht="13" x14ac:dyDescent="0.3">
      <c r="A952" s="118"/>
      <c r="C952" s="120"/>
      <c r="D952" s="120"/>
      <c r="E952" s="120"/>
      <c r="F952" s="120"/>
      <c r="G952" s="120"/>
    </row>
    <row r="953" spans="1:7" ht="13" x14ac:dyDescent="0.3">
      <c r="A953" s="118"/>
      <c r="C953" s="120"/>
      <c r="D953" s="120"/>
      <c r="E953" s="120"/>
      <c r="F953" s="120"/>
      <c r="G953" s="120"/>
    </row>
    <row r="954" spans="1:7" ht="13" x14ac:dyDescent="0.3">
      <c r="A954" s="118"/>
      <c r="C954" s="120"/>
      <c r="D954" s="120"/>
      <c r="E954" s="120"/>
      <c r="F954" s="120"/>
      <c r="G954" s="120"/>
    </row>
    <row r="955" spans="1:7" ht="13" x14ac:dyDescent="0.3">
      <c r="A955" s="118"/>
      <c r="C955" s="120"/>
      <c r="D955" s="120"/>
      <c r="E955" s="120"/>
      <c r="F955" s="120"/>
      <c r="G955" s="120"/>
    </row>
    <row r="956" spans="1:7" ht="13" x14ac:dyDescent="0.3">
      <c r="A956" s="118"/>
      <c r="C956" s="120"/>
      <c r="D956" s="120"/>
      <c r="E956" s="120"/>
      <c r="F956" s="120"/>
      <c r="G956" s="120"/>
    </row>
    <row r="957" spans="1:7" ht="13" x14ac:dyDescent="0.3">
      <c r="A957" s="118"/>
      <c r="C957" s="120"/>
      <c r="D957" s="120"/>
      <c r="E957" s="120"/>
      <c r="F957" s="120"/>
      <c r="G957" s="120"/>
    </row>
    <row r="958" spans="1:7" ht="13" x14ac:dyDescent="0.3">
      <c r="A958" s="118"/>
      <c r="C958" s="120"/>
      <c r="D958" s="120"/>
      <c r="E958" s="120"/>
      <c r="F958" s="120"/>
      <c r="G958" s="120"/>
    </row>
    <row r="959" spans="1:7" ht="13" x14ac:dyDescent="0.3">
      <c r="A959" s="118"/>
      <c r="C959" s="120"/>
      <c r="D959" s="120"/>
      <c r="E959" s="120"/>
      <c r="F959" s="120"/>
      <c r="G959" s="120"/>
    </row>
    <row r="960" spans="1:7" ht="13" x14ac:dyDescent="0.3">
      <c r="A960" s="118"/>
      <c r="C960" s="120"/>
      <c r="D960" s="120"/>
      <c r="E960" s="120"/>
      <c r="F960" s="120"/>
      <c r="G960" s="120"/>
    </row>
    <row r="961" spans="1:7" ht="13" x14ac:dyDescent="0.3">
      <c r="A961" s="118"/>
      <c r="C961" s="120"/>
      <c r="D961" s="120"/>
      <c r="E961" s="120"/>
      <c r="F961" s="120"/>
      <c r="G961" s="120"/>
    </row>
    <row r="962" spans="1:7" ht="13" x14ac:dyDescent="0.3">
      <c r="A962" s="118"/>
      <c r="C962" s="120"/>
      <c r="D962" s="120"/>
      <c r="E962" s="120"/>
      <c r="F962" s="120"/>
      <c r="G962" s="120"/>
    </row>
    <row r="963" spans="1:7" ht="13" x14ac:dyDescent="0.3">
      <c r="A963" s="118"/>
      <c r="C963" s="120"/>
      <c r="D963" s="120"/>
      <c r="E963" s="120"/>
      <c r="F963" s="120"/>
      <c r="G963" s="120"/>
    </row>
    <row r="964" spans="1:7" ht="13" x14ac:dyDescent="0.3">
      <c r="A964" s="118"/>
      <c r="C964" s="120"/>
      <c r="D964" s="120"/>
      <c r="E964" s="120"/>
      <c r="F964" s="120"/>
      <c r="G964" s="120"/>
    </row>
    <row r="965" spans="1:7" ht="13" x14ac:dyDescent="0.3">
      <c r="A965" s="118"/>
      <c r="C965" s="120"/>
      <c r="D965" s="120"/>
      <c r="E965" s="120"/>
      <c r="F965" s="120"/>
      <c r="G965" s="120"/>
    </row>
    <row r="966" spans="1:7" ht="13" x14ac:dyDescent="0.3">
      <c r="A966" s="118"/>
      <c r="C966" s="120"/>
      <c r="D966" s="120"/>
      <c r="E966" s="120"/>
      <c r="F966" s="120"/>
      <c r="G966" s="120"/>
    </row>
    <row r="967" spans="1:7" ht="13" x14ac:dyDescent="0.3">
      <c r="A967" s="118"/>
      <c r="C967" s="120"/>
      <c r="D967" s="120"/>
      <c r="E967" s="120"/>
      <c r="F967" s="120"/>
      <c r="G967" s="120"/>
    </row>
    <row r="968" spans="1:7" ht="13" x14ac:dyDescent="0.3">
      <c r="A968" s="118"/>
      <c r="C968" s="120"/>
      <c r="D968" s="120"/>
      <c r="E968" s="120"/>
      <c r="F968" s="120"/>
      <c r="G968" s="120"/>
    </row>
    <row r="969" spans="1:7" ht="13" x14ac:dyDescent="0.3">
      <c r="A969" s="118"/>
      <c r="C969" s="120"/>
      <c r="D969" s="120"/>
      <c r="E969" s="120"/>
      <c r="F969" s="120"/>
      <c r="G969" s="120"/>
    </row>
    <row r="970" spans="1:7" ht="13" x14ac:dyDescent="0.3">
      <c r="A970" s="118"/>
      <c r="C970" s="120"/>
      <c r="D970" s="120"/>
      <c r="E970" s="120"/>
      <c r="F970" s="120"/>
      <c r="G970" s="120"/>
    </row>
    <row r="971" spans="1:7" ht="13" x14ac:dyDescent="0.3">
      <c r="A971" s="118"/>
      <c r="C971" s="120"/>
      <c r="D971" s="120"/>
      <c r="E971" s="120"/>
      <c r="F971" s="120"/>
      <c r="G971" s="120"/>
    </row>
    <row r="972" spans="1:7" ht="13" x14ac:dyDescent="0.3">
      <c r="A972" s="118"/>
      <c r="C972" s="120"/>
      <c r="D972" s="120"/>
      <c r="E972" s="120"/>
      <c r="F972" s="120"/>
      <c r="G972" s="120"/>
    </row>
    <row r="973" spans="1:7" ht="13" x14ac:dyDescent="0.3">
      <c r="A973" s="118"/>
      <c r="C973" s="120"/>
      <c r="D973" s="120"/>
      <c r="E973" s="120"/>
      <c r="F973" s="120"/>
      <c r="G973" s="120"/>
    </row>
    <row r="974" spans="1:7" ht="13" x14ac:dyDescent="0.3">
      <c r="A974" s="118"/>
      <c r="C974" s="120"/>
      <c r="D974" s="120"/>
      <c r="E974" s="120"/>
      <c r="F974" s="120"/>
      <c r="G974" s="120"/>
    </row>
    <row r="975" spans="1:7" ht="13" x14ac:dyDescent="0.3">
      <c r="A975" s="118"/>
      <c r="C975" s="120"/>
      <c r="D975" s="120"/>
      <c r="E975" s="120"/>
      <c r="F975" s="120"/>
      <c r="G975" s="120"/>
    </row>
    <row r="976" spans="1:7" ht="13" x14ac:dyDescent="0.3">
      <c r="A976" s="118"/>
      <c r="C976" s="120"/>
      <c r="D976" s="120"/>
      <c r="E976" s="120"/>
      <c r="F976" s="120"/>
      <c r="G976" s="120"/>
    </row>
    <row r="977" spans="1:7" ht="13" x14ac:dyDescent="0.3">
      <c r="A977" s="118"/>
      <c r="C977" s="120"/>
      <c r="D977" s="120"/>
      <c r="E977" s="120"/>
      <c r="F977" s="120"/>
      <c r="G977" s="120"/>
    </row>
    <row r="978" spans="1:7" ht="13" x14ac:dyDescent="0.3">
      <c r="A978" s="118"/>
      <c r="C978" s="120"/>
      <c r="D978" s="120"/>
      <c r="E978" s="120"/>
      <c r="F978" s="120"/>
      <c r="G978" s="120"/>
    </row>
    <row r="979" spans="1:7" ht="13" x14ac:dyDescent="0.3">
      <c r="A979" s="118"/>
      <c r="C979" s="120"/>
      <c r="D979" s="120"/>
      <c r="E979" s="120"/>
      <c r="F979" s="120"/>
      <c r="G979" s="120"/>
    </row>
    <row r="980" spans="1:7" ht="13" x14ac:dyDescent="0.3">
      <c r="A980" s="118"/>
      <c r="C980" s="120"/>
      <c r="D980" s="120"/>
      <c r="E980" s="120"/>
      <c r="F980" s="120"/>
      <c r="G980" s="120"/>
    </row>
    <row r="981" spans="1:7" ht="13" x14ac:dyDescent="0.3">
      <c r="A981" s="118"/>
      <c r="C981" s="120"/>
      <c r="D981" s="120"/>
      <c r="E981" s="120"/>
      <c r="F981" s="120"/>
      <c r="G981" s="120"/>
    </row>
    <row r="982" spans="1:7" ht="13" x14ac:dyDescent="0.3">
      <c r="A982" s="118"/>
      <c r="C982" s="120"/>
      <c r="D982" s="120"/>
      <c r="E982" s="120"/>
      <c r="F982" s="120"/>
      <c r="G982" s="120"/>
    </row>
    <row r="983" spans="1:7" ht="13" x14ac:dyDescent="0.3">
      <c r="A983" s="118"/>
      <c r="C983" s="120"/>
      <c r="D983" s="120"/>
      <c r="E983" s="120"/>
      <c r="F983" s="120"/>
      <c r="G983" s="120"/>
    </row>
    <row r="984" spans="1:7" ht="13" x14ac:dyDescent="0.3">
      <c r="A984" s="118"/>
      <c r="C984" s="120"/>
      <c r="D984" s="120"/>
      <c r="E984" s="120"/>
      <c r="F984" s="120"/>
      <c r="G984" s="120"/>
    </row>
    <row r="985" spans="1:7" ht="13" x14ac:dyDescent="0.3">
      <c r="A985" s="118"/>
      <c r="C985" s="120"/>
      <c r="D985" s="120"/>
      <c r="E985" s="120"/>
      <c r="F985" s="120"/>
      <c r="G985" s="120"/>
    </row>
    <row r="986" spans="1:7" ht="13" x14ac:dyDescent="0.3">
      <c r="A986" s="118"/>
      <c r="C986" s="120"/>
      <c r="D986" s="120"/>
      <c r="E986" s="120"/>
      <c r="F986" s="120"/>
      <c r="G986" s="120"/>
    </row>
    <row r="987" spans="1:7" ht="13" x14ac:dyDescent="0.3">
      <c r="A987" s="118"/>
      <c r="C987" s="120"/>
      <c r="D987" s="120"/>
      <c r="E987" s="120"/>
      <c r="F987" s="120"/>
      <c r="G987" s="120"/>
    </row>
    <row r="988" spans="1:7" ht="13" x14ac:dyDescent="0.3">
      <c r="A988" s="118"/>
      <c r="C988" s="120"/>
      <c r="D988" s="120"/>
      <c r="E988" s="120"/>
      <c r="F988" s="120"/>
      <c r="G988" s="120"/>
    </row>
    <row r="989" spans="1:7" ht="13" x14ac:dyDescent="0.3">
      <c r="A989" s="118"/>
      <c r="C989" s="120"/>
      <c r="D989" s="120"/>
      <c r="E989" s="120"/>
      <c r="F989" s="120"/>
      <c r="G989" s="120"/>
    </row>
    <row r="990" spans="1:7" ht="13" x14ac:dyDescent="0.3">
      <c r="A990" s="118"/>
      <c r="C990" s="120"/>
      <c r="D990" s="120"/>
      <c r="E990" s="120"/>
      <c r="F990" s="120"/>
      <c r="G990" s="120"/>
    </row>
    <row r="991" spans="1:7" ht="13" x14ac:dyDescent="0.3">
      <c r="A991" s="118"/>
      <c r="C991" s="120"/>
      <c r="D991" s="120"/>
      <c r="E991" s="120"/>
      <c r="F991" s="120"/>
      <c r="G991" s="120"/>
    </row>
    <row r="992" spans="1:7" ht="13" x14ac:dyDescent="0.3">
      <c r="A992" s="118"/>
      <c r="C992" s="120"/>
      <c r="D992" s="120"/>
      <c r="E992" s="120"/>
      <c r="F992" s="120"/>
      <c r="G992" s="120"/>
    </row>
    <row r="993" spans="1:7" ht="13" x14ac:dyDescent="0.3">
      <c r="A993" s="118"/>
      <c r="C993" s="120"/>
      <c r="D993" s="120"/>
      <c r="E993" s="120"/>
      <c r="F993" s="120"/>
      <c r="G993" s="120"/>
    </row>
    <row r="994" spans="1:7" ht="13" x14ac:dyDescent="0.3">
      <c r="A994" s="118"/>
      <c r="C994" s="120"/>
      <c r="D994" s="120"/>
      <c r="E994" s="120"/>
      <c r="F994" s="120"/>
      <c r="G994" s="120"/>
    </row>
    <row r="995" spans="1:7" ht="13" x14ac:dyDescent="0.3">
      <c r="A995" s="118"/>
      <c r="C995" s="120"/>
      <c r="D995" s="120"/>
      <c r="E995" s="120"/>
      <c r="F995" s="120"/>
      <c r="G995" s="120"/>
    </row>
    <row r="996" spans="1:7" ht="13" x14ac:dyDescent="0.3">
      <c r="A996" s="118"/>
      <c r="C996" s="120"/>
      <c r="D996" s="120"/>
      <c r="E996" s="120"/>
      <c r="F996" s="120"/>
      <c r="G996" s="120"/>
    </row>
    <row r="997" spans="1:7" ht="13" x14ac:dyDescent="0.3">
      <c r="A997" s="118"/>
      <c r="C997" s="120"/>
      <c r="D997" s="120"/>
      <c r="E997" s="120"/>
      <c r="F997" s="120"/>
      <c r="G997" s="120"/>
    </row>
    <row r="998" spans="1:7" ht="13" x14ac:dyDescent="0.3">
      <c r="A998" s="118"/>
      <c r="C998" s="120"/>
      <c r="D998" s="120"/>
      <c r="E998" s="120"/>
      <c r="F998" s="120"/>
      <c r="G998" s="120"/>
    </row>
    <row r="999" spans="1:7" ht="13" x14ac:dyDescent="0.3">
      <c r="A999" s="118"/>
      <c r="C999" s="120"/>
      <c r="D999" s="120"/>
      <c r="E999" s="120"/>
      <c r="F999" s="120"/>
      <c r="G999" s="120"/>
    </row>
    <row r="1000" spans="1:7" ht="13" x14ac:dyDescent="0.3">
      <c r="A1000" s="118"/>
      <c r="C1000" s="120"/>
      <c r="D1000" s="120"/>
      <c r="E1000" s="120"/>
      <c r="F1000" s="120"/>
      <c r="G1000" s="120"/>
    </row>
  </sheetData>
  <sheetProtection algorithmName="SHA-512" hashValue="VWUTH7Y8BJeYBo3Yc2lNejrpjq68Smgn7jDzzBXfx1jZGUFfqcbPPyIIN4+sDvSGinKchAxnGORyKA+2ciXivg==" saltValue="r2FzOAa4fMMoxUhGxtjLoA==" spinCount="100000" sheet="1" objects="1" scenarios="1"/>
  <pageMargins left="0.7" right="0.7" top="0.75" bottom="0.75" header="0" footer="0"/>
  <pageSetup paperSize="9" fitToHeight="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A1006"/>
  <sheetViews>
    <sheetView workbookViewId="0"/>
  </sheetViews>
  <sheetFormatPr baseColWidth="10" defaultColWidth="14.3984375" defaultRowHeight="15" customHeight="1" outlineLevelRow="1" x14ac:dyDescent="0.3"/>
  <cols>
    <col min="1" max="1" width="40.09765625" customWidth="1"/>
    <col min="2" max="2" width="8.59765625" customWidth="1"/>
    <col min="3" max="3" width="10.09765625" customWidth="1"/>
    <col min="4" max="4" width="9.09765625" customWidth="1"/>
    <col min="5" max="5" width="8" customWidth="1"/>
    <col min="6" max="6" width="11.8984375" customWidth="1"/>
    <col min="7" max="7" width="10.09765625" customWidth="1"/>
    <col min="8" max="8" width="9.296875" customWidth="1"/>
    <col min="9" max="9" width="8" customWidth="1"/>
    <col min="10" max="10" width="10.09765625" customWidth="1"/>
    <col min="11" max="11" width="6.8984375" customWidth="1"/>
    <col min="12" max="12" width="10.09765625" customWidth="1"/>
    <col min="13" max="13" width="9.296875" customWidth="1"/>
    <col min="14" max="14" width="10.69921875" customWidth="1"/>
    <col min="15" max="27" width="11.59765625" customWidth="1"/>
  </cols>
  <sheetData>
    <row r="1" spans="1:27" ht="12.75" customHeight="1" x14ac:dyDescent="0.3">
      <c r="A1" s="174" t="s">
        <v>121</v>
      </c>
      <c r="B1" s="17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 x14ac:dyDescent="0.3">
      <c r="A2" s="176" t="s">
        <v>122</v>
      </c>
      <c r="B2" s="17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2.75" customHeight="1" x14ac:dyDescent="0.3">
      <c r="A3" s="177" t="s">
        <v>123</v>
      </c>
      <c r="B3" s="17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2.75" customHeight="1" x14ac:dyDescent="0.3">
      <c r="A4" s="179" t="s">
        <v>124</v>
      </c>
      <c r="B4" s="180">
        <v>11.6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2.75" customHeight="1" x14ac:dyDescent="0.3">
      <c r="A5" s="181" t="s">
        <v>125</v>
      </c>
      <c r="B5" s="182">
        <v>11.6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2.7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40.5" x14ac:dyDescent="0.45">
      <c r="A7" s="183" t="s">
        <v>126</v>
      </c>
      <c r="B7" s="184" t="s">
        <v>127</v>
      </c>
      <c r="C7" s="957" t="s">
        <v>128</v>
      </c>
      <c r="D7" s="958"/>
      <c r="E7" s="957" t="s">
        <v>129</v>
      </c>
      <c r="F7" s="958"/>
      <c r="G7" s="959" t="s">
        <v>130</v>
      </c>
      <c r="H7" s="960"/>
      <c r="I7" s="961" t="s">
        <v>131</v>
      </c>
      <c r="J7" s="958"/>
      <c r="K7" s="185" t="s">
        <v>132</v>
      </c>
      <c r="L7" s="8" t="s">
        <v>133</v>
      </c>
      <c r="M7" s="186" t="s">
        <v>134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2.75" customHeight="1" x14ac:dyDescent="0.3">
      <c r="A8" s="187"/>
      <c r="B8" s="188"/>
      <c r="C8" s="187" t="s">
        <v>135</v>
      </c>
      <c r="D8" s="189" t="s">
        <v>136</v>
      </c>
      <c r="E8" s="187" t="s">
        <v>135</v>
      </c>
      <c r="F8" s="189" t="s">
        <v>136</v>
      </c>
      <c r="G8" s="188" t="s">
        <v>135</v>
      </c>
      <c r="H8" s="188" t="s">
        <v>136</v>
      </c>
      <c r="I8" s="187" t="s">
        <v>135</v>
      </c>
      <c r="J8" s="189" t="s">
        <v>136</v>
      </c>
      <c r="K8" s="188"/>
      <c r="L8" s="190"/>
      <c r="M8" s="191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2.75" customHeight="1" x14ac:dyDescent="0.3">
      <c r="A9" s="192" t="s">
        <v>137</v>
      </c>
      <c r="B9" s="193"/>
      <c r="C9" s="192"/>
      <c r="D9" s="194"/>
      <c r="E9" s="195"/>
      <c r="F9" s="196"/>
      <c r="G9" s="197"/>
      <c r="H9" s="198"/>
      <c r="I9" s="199"/>
      <c r="J9" s="196"/>
      <c r="K9" s="200"/>
      <c r="L9" s="201"/>
      <c r="M9" s="19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2.75" customHeight="1" x14ac:dyDescent="0.3">
      <c r="A10" s="202" t="s">
        <v>138</v>
      </c>
      <c r="B10" s="203"/>
      <c r="C10" s="204"/>
      <c r="D10" s="205"/>
      <c r="E10" s="206"/>
      <c r="F10" s="206"/>
      <c r="G10" s="207"/>
      <c r="H10" s="208">
        <v>4000</v>
      </c>
      <c r="I10" s="209"/>
      <c r="J10" s="205"/>
      <c r="K10" s="210">
        <v>4500</v>
      </c>
      <c r="L10" s="211">
        <v>3500</v>
      </c>
      <c r="M10" s="212">
        <f t="shared" ref="M10:M20" si="0">F10+H10+J10+K10+L10</f>
        <v>12000</v>
      </c>
      <c r="N10" s="1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2.75" customHeight="1" x14ac:dyDescent="0.3">
      <c r="A11" s="202" t="s">
        <v>139</v>
      </c>
      <c r="B11" s="213">
        <v>4</v>
      </c>
      <c r="C11" s="214"/>
      <c r="D11" s="215"/>
      <c r="E11" s="216"/>
      <c r="F11" s="217">
        <f>1700+3.44*176*2</f>
        <v>2910.88</v>
      </c>
      <c r="G11" s="218"/>
      <c r="H11" s="219">
        <v>1500</v>
      </c>
      <c r="I11" s="216"/>
      <c r="J11" s="211">
        <v>0</v>
      </c>
      <c r="K11" s="220"/>
      <c r="L11" s="221"/>
      <c r="M11" s="222">
        <f t="shared" si="0"/>
        <v>4410.88</v>
      </c>
      <c r="N11" s="1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2.75" customHeight="1" x14ac:dyDescent="0.3">
      <c r="A12" s="223" t="s">
        <v>140</v>
      </c>
      <c r="B12" s="224">
        <v>9</v>
      </c>
      <c r="C12" s="111"/>
      <c r="D12" s="225"/>
      <c r="E12" s="203"/>
      <c r="F12" s="226">
        <f>1500*2+500*2+100*2*3</f>
        <v>4600</v>
      </c>
      <c r="G12" s="227">
        <v>500</v>
      </c>
      <c r="H12" s="219">
        <f>B12*G12</f>
        <v>4500</v>
      </c>
      <c r="I12" s="18"/>
      <c r="J12" s="228"/>
      <c r="K12" s="18"/>
      <c r="L12" s="211">
        <v>1000</v>
      </c>
      <c r="M12" s="229">
        <f t="shared" si="0"/>
        <v>10100</v>
      </c>
      <c r="N12" s="1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2.75" customHeight="1" x14ac:dyDescent="0.3">
      <c r="A13" s="223" t="s">
        <v>141</v>
      </c>
      <c r="B13" s="230">
        <v>2</v>
      </c>
      <c r="C13" s="111"/>
      <c r="D13" s="225"/>
      <c r="E13" s="203"/>
      <c r="F13" s="231">
        <f>500*2*B13</f>
        <v>2000</v>
      </c>
      <c r="G13" s="232">
        <f>500</f>
        <v>500</v>
      </c>
      <c r="H13" s="219">
        <f>G13*B13</f>
        <v>1000</v>
      </c>
      <c r="I13" s="18"/>
      <c r="J13" s="233">
        <v>1400</v>
      </c>
      <c r="K13" s="234"/>
      <c r="L13" s="235"/>
      <c r="M13" s="229">
        <f t="shared" si="0"/>
        <v>4400</v>
      </c>
      <c r="N13" s="1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.75" customHeight="1" x14ac:dyDescent="0.3">
      <c r="A14" s="202" t="s">
        <v>142</v>
      </c>
      <c r="B14" s="230">
        <v>7</v>
      </c>
      <c r="C14" s="214"/>
      <c r="D14" s="215"/>
      <c r="E14" s="216"/>
      <c r="F14" s="231">
        <v>14440</v>
      </c>
      <c r="G14" s="214"/>
      <c r="H14" s="236">
        <v>2554.29</v>
      </c>
      <c r="I14" s="216"/>
      <c r="J14" s="237">
        <v>3960</v>
      </c>
      <c r="K14" s="238">
        <v>6500</v>
      </c>
      <c r="L14" s="239"/>
      <c r="M14" s="240">
        <f t="shared" si="0"/>
        <v>27454.29</v>
      </c>
      <c r="N14" s="1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.75" customHeight="1" x14ac:dyDescent="0.3">
      <c r="A15" s="223" t="s">
        <v>143</v>
      </c>
      <c r="B15" s="241">
        <v>35</v>
      </c>
      <c r="C15" s="111"/>
      <c r="D15" s="225"/>
      <c r="E15" s="203"/>
      <c r="F15" s="242">
        <f>1500*2+500*2+100*2*3</f>
        <v>4600</v>
      </c>
      <c r="G15" s="243">
        <v>240</v>
      </c>
      <c r="H15" s="244">
        <f>$B15*G15</f>
        <v>8400</v>
      </c>
      <c r="I15" s="245">
        <v>280</v>
      </c>
      <c r="J15" s="246">
        <f>$B15*I15</f>
        <v>9800</v>
      </c>
      <c r="K15" s="247">
        <v>5500</v>
      </c>
      <c r="L15" s="248"/>
      <c r="M15" s="249">
        <f t="shared" si="0"/>
        <v>28300</v>
      </c>
      <c r="N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.75" customHeight="1" x14ac:dyDescent="0.3">
      <c r="A16" s="202" t="s">
        <v>144</v>
      </c>
      <c r="B16" s="213"/>
      <c r="C16" s="218"/>
      <c r="D16" s="250">
        <v>8300</v>
      </c>
      <c r="E16" s="251"/>
      <c r="F16" s="252">
        <v>10187.1</v>
      </c>
      <c r="G16" s="218"/>
      <c r="H16" s="253">
        <v>8596.44</v>
      </c>
      <c r="I16" s="251"/>
      <c r="J16" s="250"/>
      <c r="K16" s="254">
        <v>7000</v>
      </c>
      <c r="L16" s="211">
        <v>145.37</v>
      </c>
      <c r="M16" s="255">
        <f t="shared" si="0"/>
        <v>25928.91</v>
      </c>
      <c r="N16" s="18">
        <f>D16-M16</f>
        <v>-17628.91</v>
      </c>
      <c r="O16" s="256" t="s">
        <v>145</v>
      </c>
      <c r="P16" s="257" t="s">
        <v>146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.75" customHeight="1" x14ac:dyDescent="0.3">
      <c r="A17" s="202" t="s">
        <v>147</v>
      </c>
      <c r="B17" s="258">
        <v>10</v>
      </c>
      <c r="C17" s="259">
        <v>850</v>
      </c>
      <c r="D17" s="250">
        <f t="shared" ref="D17:D18" si="1">B17*C17</f>
        <v>8500</v>
      </c>
      <c r="E17" s="260">
        <v>500</v>
      </c>
      <c r="F17" s="252">
        <f t="shared" ref="F17:F18" si="2">$B17*E17</f>
        <v>5000</v>
      </c>
      <c r="G17" s="259">
        <f t="shared" ref="G17:G18" si="3">240*2</f>
        <v>480</v>
      </c>
      <c r="H17" s="253">
        <f t="shared" ref="H17:H18" si="4">$B17*G17</f>
        <v>4800</v>
      </c>
      <c r="I17" s="260">
        <f t="shared" ref="I17:I18" si="5">255*2</f>
        <v>510</v>
      </c>
      <c r="J17" s="250">
        <f t="shared" ref="J17:J18" si="6">$B17*I17</f>
        <v>5100</v>
      </c>
      <c r="K17" s="254"/>
      <c r="L17" s="211">
        <v>1000</v>
      </c>
      <c r="M17" s="261">
        <f t="shared" si="0"/>
        <v>15900</v>
      </c>
      <c r="N17" s="18"/>
      <c r="O17" s="256">
        <f t="shared" ref="O17:O18" si="7">24900/20</f>
        <v>1245</v>
      </c>
      <c r="P17" s="262">
        <f t="shared" ref="P17:P18" si="8">C17-O17</f>
        <v>-395</v>
      </c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</row>
    <row r="18" spans="1:27" ht="12.75" customHeight="1" x14ac:dyDescent="0.3">
      <c r="A18" s="202" t="s">
        <v>148</v>
      </c>
      <c r="B18" s="241">
        <v>15</v>
      </c>
      <c r="C18" s="263">
        <v>400</v>
      </c>
      <c r="D18" s="219">
        <f t="shared" si="1"/>
        <v>6000</v>
      </c>
      <c r="E18" s="264">
        <v>1000</v>
      </c>
      <c r="F18" s="265">
        <f t="shared" si="2"/>
        <v>15000</v>
      </c>
      <c r="G18" s="263">
        <f t="shared" si="3"/>
        <v>480</v>
      </c>
      <c r="H18" s="266">
        <f t="shared" si="4"/>
        <v>7200</v>
      </c>
      <c r="I18" s="264">
        <f t="shared" si="5"/>
        <v>510</v>
      </c>
      <c r="J18" s="219">
        <f t="shared" si="6"/>
        <v>7650</v>
      </c>
      <c r="K18" s="247"/>
      <c r="L18" s="267">
        <v>1000</v>
      </c>
      <c r="M18" s="222">
        <f t="shared" si="0"/>
        <v>30850</v>
      </c>
      <c r="N18" s="18"/>
      <c r="O18" s="256">
        <f t="shared" si="7"/>
        <v>1245</v>
      </c>
      <c r="P18" s="262">
        <f t="shared" si="8"/>
        <v>-845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</row>
    <row r="19" spans="1:27" ht="12.75" customHeight="1" x14ac:dyDescent="0.3">
      <c r="A19" s="202" t="s">
        <v>149</v>
      </c>
      <c r="B19" s="203"/>
      <c r="C19" s="111"/>
      <c r="D19" s="219">
        <f>Landsmøtet!O65</f>
        <v>48900</v>
      </c>
      <c r="E19" s="203"/>
      <c r="F19" s="265">
        <f>Landsmøtet!N66</f>
        <v>5000</v>
      </c>
      <c r="G19" s="111"/>
      <c r="H19" s="219"/>
      <c r="I19" s="203"/>
      <c r="J19" s="219">
        <f>Landsmøtet!L66</f>
        <v>75227</v>
      </c>
      <c r="K19" s="268">
        <f>Landsmøtet!M66</f>
        <v>24857.142857142859</v>
      </c>
      <c r="L19" s="267"/>
      <c r="M19" s="222">
        <f t="shared" si="0"/>
        <v>105084.14285714286</v>
      </c>
      <c r="N19" s="203"/>
      <c r="O19" s="18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</row>
    <row r="20" spans="1:27" ht="12.75" customHeight="1" x14ac:dyDescent="0.3">
      <c r="A20" s="202" t="s">
        <v>150</v>
      </c>
      <c r="B20" s="216"/>
      <c r="C20" s="269"/>
      <c r="D20" s="270">
        <f>Høstmøtet!P69</f>
        <v>129365.77934086257</v>
      </c>
      <c r="E20" s="271"/>
      <c r="F20" s="272">
        <f>Høstmøtet!O70</f>
        <v>21000</v>
      </c>
      <c r="G20" s="273"/>
      <c r="H20" s="270">
        <f>0.4*Høstmøtet!M70</f>
        <v>56567.850340136065</v>
      </c>
      <c r="I20" s="271"/>
      <c r="J20" s="270">
        <f>Høstmøtet!M70-H20</f>
        <v>84851.775510204083</v>
      </c>
      <c r="K20" s="268">
        <f>Høstmøtet!N70</f>
        <v>49708.737864077673</v>
      </c>
      <c r="L20" s="274"/>
      <c r="M20" s="249">
        <f t="shared" si="0"/>
        <v>212128.36371441782</v>
      </c>
      <c r="N20" s="18"/>
      <c r="O20" s="1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.75" customHeight="1" x14ac:dyDescent="0.3">
      <c r="A21" s="275" t="s">
        <v>151</v>
      </c>
      <c r="B21" s="276"/>
      <c r="C21" s="277"/>
      <c r="D21" s="278">
        <f>SUM(D11:D20)</f>
        <v>201065.77934086259</v>
      </c>
      <c r="E21" s="277"/>
      <c r="F21" s="279">
        <f>SUM(F11:F20)</f>
        <v>84737.98000000001</v>
      </c>
      <c r="G21" s="276"/>
      <c r="H21" s="280">
        <f>SUM(H11:H20)</f>
        <v>95118.580340136075</v>
      </c>
      <c r="I21" s="281"/>
      <c r="J21" s="282">
        <f t="shared" ref="J21:M21" si="9">SUM(J11:J20)</f>
        <v>187988.77551020408</v>
      </c>
      <c r="K21" s="280">
        <f t="shared" si="9"/>
        <v>93565.880721220528</v>
      </c>
      <c r="L21" s="283">
        <f t="shared" si="9"/>
        <v>3145.37</v>
      </c>
      <c r="M21" s="279">
        <f t="shared" si="9"/>
        <v>464556.58657156071</v>
      </c>
      <c r="N21" s="284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.75" customHeight="1" x14ac:dyDescent="0.3">
      <c r="A22" s="285"/>
      <c r="B22" s="286"/>
      <c r="C22" s="287"/>
      <c r="D22" s="288"/>
      <c r="E22" s="287"/>
      <c r="F22" s="288"/>
      <c r="G22" s="286"/>
      <c r="H22" s="286"/>
      <c r="I22" s="287"/>
      <c r="J22" s="288"/>
      <c r="K22" s="286"/>
      <c r="L22" s="289"/>
      <c r="M22" s="288"/>
      <c r="N22" s="28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.75" customHeight="1" x14ac:dyDescent="0.3">
      <c r="A23" s="290" t="s">
        <v>152</v>
      </c>
      <c r="B23" s="291"/>
      <c r="C23" s="292"/>
      <c r="D23" s="293"/>
      <c r="E23" s="292"/>
      <c r="F23" s="293"/>
      <c r="G23" s="291"/>
      <c r="H23" s="291"/>
      <c r="I23" s="292"/>
      <c r="J23" s="293"/>
      <c r="K23" s="291"/>
      <c r="L23" s="294"/>
      <c r="M23" s="293"/>
      <c r="N23" s="284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.75" customHeight="1" x14ac:dyDescent="0.3">
      <c r="A24" s="223" t="s">
        <v>153</v>
      </c>
      <c r="B24" s="9"/>
      <c r="C24" s="223"/>
      <c r="D24" s="295">
        <v>3000</v>
      </c>
      <c r="E24" s="223"/>
      <c r="F24" s="295">
        <v>5000</v>
      </c>
      <c r="G24" s="9"/>
      <c r="H24" s="296"/>
      <c r="I24" s="223"/>
      <c r="J24" s="295"/>
      <c r="K24" s="9"/>
      <c r="L24" s="297"/>
      <c r="M24" s="229">
        <f t="shared" ref="M24:M28" si="10">D24+F24+H24+J24+K24+L24</f>
        <v>8000</v>
      </c>
      <c r="N24" s="29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.75" customHeight="1" x14ac:dyDescent="0.3">
      <c r="A25" s="223" t="s">
        <v>154</v>
      </c>
      <c r="B25" s="9"/>
      <c r="C25" s="223"/>
      <c r="D25" s="299"/>
      <c r="E25" s="223"/>
      <c r="F25" s="299"/>
      <c r="G25" s="9"/>
      <c r="H25" s="300"/>
      <c r="I25" s="223"/>
      <c r="J25" s="299"/>
      <c r="K25" s="9"/>
      <c r="L25" s="299"/>
      <c r="M25" s="229">
        <f t="shared" si="10"/>
        <v>0</v>
      </c>
      <c r="N25" s="284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.75" customHeight="1" x14ac:dyDescent="0.3">
      <c r="A26" s="223" t="s">
        <v>155</v>
      </c>
      <c r="B26" s="9"/>
      <c r="C26" s="223"/>
      <c r="D26" s="301"/>
      <c r="E26" s="202"/>
      <c r="F26" s="301">
        <v>25000</v>
      </c>
      <c r="G26" s="24"/>
      <c r="H26" s="302"/>
      <c r="I26" s="202"/>
      <c r="J26" s="301"/>
      <c r="K26" s="9"/>
      <c r="L26" s="297"/>
      <c r="M26" s="229">
        <f t="shared" si="10"/>
        <v>25000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.75" customHeight="1" x14ac:dyDescent="0.3">
      <c r="A27" s="223" t="s">
        <v>156</v>
      </c>
      <c r="B27" s="9"/>
      <c r="C27" s="223"/>
      <c r="D27" s="301"/>
      <c r="E27" s="202"/>
      <c r="F27" s="301">
        <v>10000</v>
      </c>
      <c r="G27" s="24"/>
      <c r="H27" s="302"/>
      <c r="I27" s="202"/>
      <c r="J27" s="301"/>
      <c r="K27" s="9"/>
      <c r="L27" s="297"/>
      <c r="M27" s="229">
        <f t="shared" si="10"/>
        <v>10000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.75" customHeight="1" x14ac:dyDescent="0.3">
      <c r="A28" s="202" t="s">
        <v>157</v>
      </c>
      <c r="B28" s="24"/>
      <c r="C28" s="202"/>
      <c r="D28" s="301"/>
      <c r="E28" s="202"/>
      <c r="F28" s="301">
        <v>10000</v>
      </c>
      <c r="G28" s="24"/>
      <c r="H28" s="302"/>
      <c r="I28" s="202"/>
      <c r="J28" s="301"/>
      <c r="K28" s="24"/>
      <c r="L28" s="101"/>
      <c r="M28" s="222">
        <f t="shared" si="10"/>
        <v>10000</v>
      </c>
      <c r="N28" s="30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2.75" customHeight="1" x14ac:dyDescent="0.3">
      <c r="A29" s="277" t="s">
        <v>151</v>
      </c>
      <c r="B29" s="276"/>
      <c r="C29" s="277"/>
      <c r="D29" s="304">
        <f>SUM(D24:D28)</f>
        <v>3000</v>
      </c>
      <c r="E29" s="277"/>
      <c r="F29" s="304">
        <f>SUM(F24:F28)</f>
        <v>50000</v>
      </c>
      <c r="G29" s="276"/>
      <c r="H29" s="276">
        <f>SUM(H24:H28)</f>
        <v>0</v>
      </c>
      <c r="I29" s="277"/>
      <c r="J29" s="304">
        <f>SUM(J24:J28)</f>
        <v>0</v>
      </c>
      <c r="K29" s="276"/>
      <c r="L29" s="305">
        <f t="shared" ref="L29:M29" si="11">SUM(L24:L28)</f>
        <v>0</v>
      </c>
      <c r="M29" s="304">
        <f t="shared" si="11"/>
        <v>53000</v>
      </c>
      <c r="N29" s="29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.75" customHeight="1" x14ac:dyDescent="0.3">
      <c r="A30" s="9"/>
      <c r="B30" s="9"/>
      <c r="C30" s="223"/>
      <c r="D30" s="306"/>
      <c r="E30" s="223"/>
      <c r="F30" s="306"/>
      <c r="G30" s="9"/>
      <c r="H30" s="9"/>
      <c r="I30" s="223"/>
      <c r="J30" s="306"/>
      <c r="K30" s="9"/>
      <c r="L30" s="297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2.75" customHeight="1" x14ac:dyDescent="0.3">
      <c r="A31" s="292" t="s">
        <v>158</v>
      </c>
      <c r="B31" s="291"/>
      <c r="C31" s="292"/>
      <c r="D31" s="293"/>
      <c r="E31" s="292"/>
      <c r="F31" s="293"/>
      <c r="G31" s="291"/>
      <c r="H31" s="291"/>
      <c r="I31" s="292"/>
      <c r="J31" s="293"/>
      <c r="K31" s="291"/>
      <c r="L31" s="294"/>
      <c r="M31" s="293" t="s">
        <v>151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.75" customHeight="1" x14ac:dyDescent="0.3">
      <c r="A32" s="223" t="s">
        <v>159</v>
      </c>
      <c r="B32" s="9"/>
      <c r="C32" s="223"/>
      <c r="D32" s="301">
        <v>1000</v>
      </c>
      <c r="E32" s="202"/>
      <c r="F32" s="301">
        <v>2000</v>
      </c>
      <c r="G32" s="24"/>
      <c r="H32" s="302">
        <v>1000</v>
      </c>
      <c r="I32" s="202"/>
      <c r="J32" s="301">
        <v>2000</v>
      </c>
      <c r="K32" s="9"/>
      <c r="L32" s="297"/>
      <c r="M32" s="229">
        <f t="shared" ref="M32:M33" si="12">D32+F32+H32+J32+K32+L32</f>
        <v>6000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.75" customHeight="1" x14ac:dyDescent="0.3">
      <c r="A33" s="223" t="s">
        <v>160</v>
      </c>
      <c r="B33" s="9"/>
      <c r="C33" s="223"/>
      <c r="D33" s="301">
        <v>2000</v>
      </c>
      <c r="E33" s="202"/>
      <c r="F33" s="301">
        <v>10000</v>
      </c>
      <c r="G33" s="24"/>
      <c r="H33" s="302">
        <v>1000</v>
      </c>
      <c r="I33" s="202"/>
      <c r="J33" s="301">
        <v>2000</v>
      </c>
      <c r="K33" s="9"/>
      <c r="L33" s="297"/>
      <c r="M33" s="229">
        <f t="shared" si="12"/>
        <v>15000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.75" customHeight="1" x14ac:dyDescent="0.3">
      <c r="A34" s="223" t="s">
        <v>161</v>
      </c>
      <c r="B34" s="9"/>
      <c r="C34" s="223"/>
      <c r="D34" s="301"/>
      <c r="E34" s="202"/>
      <c r="F34" s="301"/>
      <c r="G34" s="24"/>
      <c r="H34" s="302">
        <v>10000</v>
      </c>
      <c r="I34" s="202"/>
      <c r="J34" s="301"/>
      <c r="K34" s="9"/>
      <c r="L34" s="297"/>
      <c r="M34" s="22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.75" customHeight="1" x14ac:dyDescent="0.3">
      <c r="A35" s="223" t="s">
        <v>162</v>
      </c>
      <c r="B35" s="9"/>
      <c r="C35" s="223"/>
      <c r="D35" s="301"/>
      <c r="E35" s="202"/>
      <c r="F35" s="301"/>
      <c r="G35" s="24"/>
      <c r="H35" s="302"/>
      <c r="I35" s="307"/>
      <c r="J35" s="308"/>
      <c r="K35" s="9"/>
      <c r="L35" s="297"/>
      <c r="M35" s="229">
        <f>D35+F35+H35+J35+K35+L35</f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.75" customHeight="1" x14ac:dyDescent="0.3">
      <c r="A36" s="277" t="s">
        <v>151</v>
      </c>
      <c r="B36" s="276"/>
      <c r="C36" s="277"/>
      <c r="D36" s="304">
        <f>SUM(D32:D35)</f>
        <v>3000</v>
      </c>
      <c r="E36" s="277"/>
      <c r="F36" s="304">
        <f>SUM(F32:F35)</f>
        <v>12000</v>
      </c>
      <c r="G36" s="276"/>
      <c r="H36" s="276">
        <f>SUM(H32:H35)</f>
        <v>12000</v>
      </c>
      <c r="I36" s="277"/>
      <c r="J36" s="304">
        <f>SUM(J32:J35)</f>
        <v>4000</v>
      </c>
      <c r="K36" s="276"/>
      <c r="L36" s="305"/>
      <c r="M36" s="304">
        <f>SUM(M32:M35)</f>
        <v>21000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.7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.7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0.25" customHeight="1" x14ac:dyDescent="0.3">
      <c r="A39" s="309" t="s">
        <v>163</v>
      </c>
      <c r="B39" s="310"/>
      <c r="C39" s="310"/>
      <c r="D39" s="310"/>
      <c r="E39" s="310"/>
      <c r="F39" s="311"/>
      <c r="G39" s="14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.75" customHeight="1" x14ac:dyDescent="0.3">
      <c r="A40" s="275" t="s">
        <v>164</v>
      </c>
      <c r="B40" s="276" t="s">
        <v>165</v>
      </c>
      <c r="C40" s="276" t="s">
        <v>166</v>
      </c>
      <c r="D40" s="276" t="s">
        <v>167</v>
      </c>
      <c r="E40" s="276" t="s">
        <v>167</v>
      </c>
      <c r="F40" s="304" t="s">
        <v>136</v>
      </c>
      <c r="G40" s="14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.75" customHeight="1" x14ac:dyDescent="0.3">
      <c r="A41" s="312" t="s">
        <v>168</v>
      </c>
      <c r="B41" s="9"/>
      <c r="C41" s="9"/>
      <c r="D41" s="9"/>
      <c r="E41" s="313"/>
      <c r="F41" s="314">
        <v>500</v>
      </c>
      <c r="G41" s="14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.75" customHeight="1" x14ac:dyDescent="0.3">
      <c r="A42" s="312" t="s">
        <v>169</v>
      </c>
      <c r="B42" s="9"/>
      <c r="C42" s="9"/>
      <c r="D42" s="9"/>
      <c r="E42" s="297"/>
      <c r="F42" s="315">
        <f>SUM(E43)</f>
        <v>30000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 customHeight="1" outlineLevel="1" x14ac:dyDescent="0.3">
      <c r="A43" s="316" t="s">
        <v>170</v>
      </c>
      <c r="B43" s="9"/>
      <c r="C43" s="9"/>
      <c r="D43" s="9"/>
      <c r="E43" s="301">
        <v>30000</v>
      </c>
      <c r="F43" s="297"/>
      <c r="G43" s="9" t="s">
        <v>171</v>
      </c>
      <c r="H43" s="9"/>
      <c r="I43" s="14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.75" customHeight="1" x14ac:dyDescent="0.3">
      <c r="A44" s="312" t="s">
        <v>172</v>
      </c>
      <c r="B44" s="9"/>
      <c r="C44" s="9"/>
      <c r="D44" s="9"/>
      <c r="E44" s="297"/>
      <c r="F44" s="315">
        <f>Program!$G26</f>
        <v>171000</v>
      </c>
      <c r="G44" s="9" t="s">
        <v>173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.75" customHeight="1" x14ac:dyDescent="0.3">
      <c r="A45" s="312" t="s">
        <v>174</v>
      </c>
      <c r="B45" s="9"/>
      <c r="C45" s="9"/>
      <c r="D45" s="9"/>
      <c r="E45" s="297"/>
      <c r="F45" s="315">
        <f>E46</f>
        <v>20000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.75" customHeight="1" outlineLevel="1" x14ac:dyDescent="0.3">
      <c r="A46" s="317" t="s">
        <v>175</v>
      </c>
      <c r="B46" s="9"/>
      <c r="C46" s="9"/>
      <c r="D46" s="9"/>
      <c r="E46" s="318">
        <f>Prosjekter!E8</f>
        <v>20000</v>
      </c>
      <c r="F46" s="297"/>
      <c r="G46" s="14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.75" customHeight="1" x14ac:dyDescent="0.3">
      <c r="A47" s="312" t="s">
        <v>176</v>
      </c>
      <c r="B47" s="319">
        <v>1</v>
      </c>
      <c r="C47" s="320">
        <v>810000</v>
      </c>
      <c r="D47" s="9"/>
      <c r="E47" s="297"/>
      <c r="F47" s="315">
        <f>B47*C47</f>
        <v>810000</v>
      </c>
      <c r="G47" s="11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.75" customHeight="1" x14ac:dyDescent="0.3">
      <c r="A48" s="312" t="s">
        <v>177</v>
      </c>
      <c r="B48" s="321"/>
      <c r="C48" s="321"/>
      <c r="D48" s="9"/>
      <c r="E48" s="297"/>
      <c r="F48" s="315">
        <f>SUM(E49:E50)</f>
        <v>24806.02</v>
      </c>
      <c r="G48" s="11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.75" customHeight="1" outlineLevel="1" x14ac:dyDescent="0.3">
      <c r="A49" s="316" t="s">
        <v>178</v>
      </c>
      <c r="B49" s="322">
        <v>19</v>
      </c>
      <c r="C49" s="323">
        <v>0</v>
      </c>
      <c r="D49" s="9" t="s">
        <v>179</v>
      </c>
      <c r="E49" s="318">
        <f>Sentralt!$B$4*B49*C49</f>
        <v>0</v>
      </c>
      <c r="F49" s="297"/>
      <c r="G49" s="9" t="s">
        <v>171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.75" customHeight="1" outlineLevel="1" x14ac:dyDescent="0.3">
      <c r="A50" s="316" t="s">
        <v>180</v>
      </c>
      <c r="B50" s="324">
        <f>B49</f>
        <v>19</v>
      </c>
      <c r="C50" s="182">
        <v>112.55</v>
      </c>
      <c r="D50" s="9" t="s">
        <v>179</v>
      </c>
      <c r="E50" s="318">
        <f>Sentralt!$B$4*B50*C50</f>
        <v>24806.02</v>
      </c>
      <c r="F50" s="297"/>
      <c r="G50" s="9" t="s">
        <v>171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.75" customHeight="1" x14ac:dyDescent="0.3">
      <c r="A51" s="312" t="s">
        <v>181</v>
      </c>
      <c r="B51" s="9"/>
      <c r="C51" s="9"/>
      <c r="D51" s="9"/>
      <c r="E51" s="297"/>
      <c r="F51" s="315">
        <f>D21</f>
        <v>201065.77934086259</v>
      </c>
      <c r="G51" s="325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.75" customHeight="1" x14ac:dyDescent="0.3">
      <c r="A52" s="326" t="s">
        <v>182</v>
      </c>
      <c r="B52" s="9"/>
      <c r="C52" s="9"/>
      <c r="D52" s="9"/>
      <c r="E52" s="297"/>
      <c r="F52" s="327">
        <v>1579261</v>
      </c>
      <c r="G52" s="325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.75" customHeight="1" x14ac:dyDescent="0.3">
      <c r="A53" s="328" t="s">
        <v>183</v>
      </c>
      <c r="B53" s="9"/>
      <c r="C53" s="9"/>
      <c r="D53" s="9"/>
      <c r="E53" s="297"/>
      <c r="F53" s="329">
        <f>L55</f>
        <v>305550</v>
      </c>
      <c r="G53" s="18"/>
      <c r="H53" s="962" t="s">
        <v>184</v>
      </c>
      <c r="I53" s="963"/>
      <c r="J53" s="963"/>
      <c r="K53" s="963"/>
      <c r="L53" s="330">
        <v>873000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.75" customHeight="1" x14ac:dyDescent="0.3">
      <c r="A54" s="312" t="s">
        <v>185</v>
      </c>
      <c r="B54" s="9"/>
      <c r="C54" s="9"/>
      <c r="D54" s="9"/>
      <c r="E54" s="297"/>
      <c r="F54" s="331">
        <v>510000</v>
      </c>
      <c r="G54" s="332"/>
      <c r="H54" s="964" t="s">
        <v>186</v>
      </c>
      <c r="I54" s="960"/>
      <c r="J54" s="960"/>
      <c r="K54" s="960"/>
      <c r="L54" s="222">
        <f>L56*L58</f>
        <v>567450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.75" customHeight="1" x14ac:dyDescent="0.3">
      <c r="A55" s="312" t="s">
        <v>187</v>
      </c>
      <c r="B55" s="9"/>
      <c r="C55" s="9"/>
      <c r="D55" s="9"/>
      <c r="E55" s="297"/>
      <c r="F55" s="315">
        <f>Prosjekter!G6</f>
        <v>0</v>
      </c>
      <c r="G55" s="332"/>
      <c r="H55" s="950" t="s">
        <v>188</v>
      </c>
      <c r="I55" s="951"/>
      <c r="J55" s="951"/>
      <c r="K55" s="951"/>
      <c r="L55" s="222">
        <f>L53-L54</f>
        <v>305550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.75" customHeight="1" x14ac:dyDescent="0.3">
      <c r="A56" s="312" t="s">
        <v>189</v>
      </c>
      <c r="B56" s="333">
        <v>2800</v>
      </c>
      <c r="C56" s="334">
        <v>50</v>
      </c>
      <c r="D56" s="9" t="s">
        <v>190</v>
      </c>
      <c r="E56" s="297"/>
      <c r="F56" s="315">
        <f>B56*C56</f>
        <v>140000</v>
      </c>
      <c r="G56" s="332"/>
      <c r="H56" s="950" t="s">
        <v>191</v>
      </c>
      <c r="I56" s="951"/>
      <c r="J56" s="951"/>
      <c r="K56" s="951"/>
      <c r="L56" s="335">
        <v>686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.75" customHeight="1" x14ac:dyDescent="0.3">
      <c r="A57" s="312" t="s">
        <v>192</v>
      </c>
      <c r="B57" s="9"/>
      <c r="C57" s="9"/>
      <c r="D57" s="9"/>
      <c r="E57" s="297"/>
      <c r="F57" s="336">
        <v>2000</v>
      </c>
      <c r="G57" s="117"/>
      <c r="H57" s="950" t="s">
        <v>193</v>
      </c>
      <c r="I57" s="951"/>
      <c r="J57" s="951"/>
      <c r="K57" s="951"/>
      <c r="L57" s="229">
        <f>L53/L56</f>
        <v>1272.5947521865889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.75" customHeight="1" x14ac:dyDescent="0.3">
      <c r="A58" s="275" t="s">
        <v>194</v>
      </c>
      <c r="B58" s="276"/>
      <c r="C58" s="276"/>
      <c r="D58" s="276"/>
      <c r="E58" s="305"/>
      <c r="F58" s="283">
        <f>SUM(F41:F57)</f>
        <v>3794182.7993408628</v>
      </c>
      <c r="G58" s="144"/>
      <c r="H58" s="952" t="s">
        <v>195</v>
      </c>
      <c r="I58" s="953"/>
      <c r="J58" s="953"/>
      <c r="K58" s="953"/>
      <c r="L58" s="337">
        <f>L57*65%</f>
        <v>827.18658892128281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.75" customHeight="1" x14ac:dyDescent="0.3">
      <c r="A59" s="10"/>
      <c r="B59" s="10"/>
      <c r="C59" s="10"/>
      <c r="D59" s="10"/>
      <c r="E59" s="10"/>
      <c r="F59" s="144"/>
      <c r="G59" s="14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8.5" x14ac:dyDescent="0.3">
      <c r="A60" s="309" t="s">
        <v>196</v>
      </c>
      <c r="B60" s="310"/>
      <c r="C60" s="310"/>
      <c r="D60" s="310"/>
      <c r="E60" s="311"/>
      <c r="F60" s="311"/>
      <c r="G60" s="14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.75" customHeight="1" x14ac:dyDescent="0.3">
      <c r="A61" s="10"/>
      <c r="B61" s="10"/>
      <c r="C61" s="10"/>
      <c r="D61" s="10"/>
      <c r="E61" s="10"/>
      <c r="F61" s="144"/>
      <c r="G61" s="14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.75" customHeight="1" x14ac:dyDescent="0.3">
      <c r="A62" s="275" t="s">
        <v>197</v>
      </c>
      <c r="B62" s="276" t="s">
        <v>165</v>
      </c>
      <c r="C62" s="276" t="s">
        <v>166</v>
      </c>
      <c r="D62" s="276" t="s">
        <v>167</v>
      </c>
      <c r="E62" s="276"/>
      <c r="F62" s="304" t="s">
        <v>136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.75" customHeight="1" x14ac:dyDescent="0.3">
      <c r="A63" s="28" t="s">
        <v>198</v>
      </c>
      <c r="B63" s="9"/>
      <c r="C63" s="338"/>
      <c r="D63" s="9"/>
      <c r="E63" s="313"/>
      <c r="F63" s="339">
        <v>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.75" customHeight="1" x14ac:dyDescent="0.3">
      <c r="A64" s="28" t="s">
        <v>199</v>
      </c>
      <c r="B64" s="9"/>
      <c r="C64" s="338"/>
      <c r="D64" s="9"/>
      <c r="E64" s="297"/>
      <c r="F64" s="315">
        <f>SUM(E65:E68)</f>
        <v>25458.752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.75" customHeight="1" outlineLevel="1" x14ac:dyDescent="0.3">
      <c r="A65" s="316" t="s">
        <v>200</v>
      </c>
      <c r="B65" s="322">
        <v>1</v>
      </c>
      <c r="C65" s="340">
        <f>C49</f>
        <v>0</v>
      </c>
      <c r="D65" s="9" t="s">
        <v>201</v>
      </c>
      <c r="E65" s="318">
        <f>Sentralt!$B$5*B65*C65</f>
        <v>0</v>
      </c>
      <c r="F65" s="29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.75" customHeight="1" outlineLevel="1" x14ac:dyDescent="0.3">
      <c r="A66" s="341" t="s">
        <v>202</v>
      </c>
      <c r="B66" s="342">
        <f t="shared" ref="B66:B67" si="13">$B$49</f>
        <v>19</v>
      </c>
      <c r="C66" s="343">
        <f t="shared" ref="C66:C67" si="14">C49</f>
        <v>0</v>
      </c>
      <c r="D66" s="9" t="s">
        <v>179</v>
      </c>
      <c r="E66" s="318">
        <f>Sentralt!$B$5*B66*C66</f>
        <v>0</v>
      </c>
      <c r="F66" s="29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.75" customHeight="1" outlineLevel="1" x14ac:dyDescent="0.3">
      <c r="A67" s="316" t="s">
        <v>203</v>
      </c>
      <c r="B67" s="342">
        <f t="shared" si="13"/>
        <v>19</v>
      </c>
      <c r="C67" s="343">
        <f t="shared" si="14"/>
        <v>112.55</v>
      </c>
      <c r="D67" s="9" t="s">
        <v>179</v>
      </c>
      <c r="E67" s="318">
        <f>Sentralt!$B$5*B67*C67</f>
        <v>24806.02</v>
      </c>
      <c r="F67" s="29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.75" customHeight="1" outlineLevel="1" x14ac:dyDescent="0.3">
      <c r="A68" s="341" t="s">
        <v>204</v>
      </c>
      <c r="B68" s="344">
        <v>1</v>
      </c>
      <c r="C68" s="345">
        <v>56.27</v>
      </c>
      <c r="D68" s="9" t="s">
        <v>201</v>
      </c>
      <c r="E68" s="318">
        <f>Sentralt!$B$5*B68*C68</f>
        <v>652.73199999999997</v>
      </c>
      <c r="F68" s="29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.75" customHeight="1" x14ac:dyDescent="0.3">
      <c r="A69" s="28" t="s">
        <v>205</v>
      </c>
      <c r="B69" s="346">
        <v>0.95</v>
      </c>
      <c r="C69" s="347">
        <f>F54</f>
        <v>510000</v>
      </c>
      <c r="D69" s="9"/>
      <c r="E69" s="297"/>
      <c r="F69" s="315">
        <f t="shared" ref="F69:F71" si="15">B69*C69</f>
        <v>484500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.75" customHeight="1" x14ac:dyDescent="0.3">
      <c r="A70" s="28" t="s">
        <v>206</v>
      </c>
      <c r="B70" s="348">
        <v>0.65</v>
      </c>
      <c r="C70" s="349">
        <f>F47</f>
        <v>810000</v>
      </c>
      <c r="D70" s="9"/>
      <c r="E70" s="297"/>
      <c r="F70" s="315">
        <f t="shared" si="15"/>
        <v>526500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.75" customHeight="1" x14ac:dyDescent="0.3">
      <c r="A71" s="28" t="s">
        <v>207</v>
      </c>
      <c r="B71" s="350">
        <v>1</v>
      </c>
      <c r="C71" s="351">
        <f>F56</f>
        <v>140000</v>
      </c>
      <c r="D71" s="9"/>
      <c r="E71" s="352"/>
      <c r="F71" s="353">
        <f t="shared" si="15"/>
        <v>140000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.75" customHeight="1" x14ac:dyDescent="0.3">
      <c r="A72" s="275" t="s">
        <v>208</v>
      </c>
      <c r="B72" s="276"/>
      <c r="C72" s="276"/>
      <c r="D72" s="276"/>
      <c r="E72" s="276"/>
      <c r="F72" s="279">
        <f>SUM(F63:F71)</f>
        <v>1176458.7519999999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.75" customHeight="1" x14ac:dyDescent="0.3">
      <c r="A73" s="9"/>
      <c r="B73" s="9"/>
      <c r="C73" s="354"/>
      <c r="D73" s="10"/>
      <c r="E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.75" customHeight="1" x14ac:dyDescent="0.3">
      <c r="A74" s="275" t="s">
        <v>209</v>
      </c>
      <c r="B74" s="276" t="s">
        <v>165</v>
      </c>
      <c r="C74" s="276" t="s">
        <v>166</v>
      </c>
      <c r="D74" s="276" t="s">
        <v>167</v>
      </c>
      <c r="E74" s="954" t="s">
        <v>136</v>
      </c>
      <c r="F74" s="955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.75" customHeight="1" x14ac:dyDescent="0.3">
      <c r="A75" s="28" t="s">
        <v>210</v>
      </c>
      <c r="B75" s="9"/>
      <c r="C75" s="9"/>
      <c r="D75" s="9"/>
      <c r="E75" s="313"/>
      <c r="F75" s="355">
        <f>SUM(E76:E80)</f>
        <v>815629.5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.75" hidden="1" customHeight="1" outlineLevel="1" x14ac:dyDescent="0.3">
      <c r="A76" s="341" t="s">
        <v>211</v>
      </c>
      <c r="B76" s="356">
        <f>4/12</f>
        <v>0.33333333333333331</v>
      </c>
      <c r="C76" s="357">
        <v>469343</v>
      </c>
      <c r="D76" s="9" t="s">
        <v>212</v>
      </c>
      <c r="E76" s="358">
        <f t="shared" ref="E76:E80" si="16">B76*C76</f>
        <v>156447.66666666666</v>
      </c>
      <c r="F76" s="29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.75" hidden="1" customHeight="1" outlineLevel="1" x14ac:dyDescent="0.3">
      <c r="A77" s="341" t="s">
        <v>213</v>
      </c>
      <c r="B77" s="359">
        <v>0.67</v>
      </c>
      <c r="C77" s="360">
        <v>446800</v>
      </c>
      <c r="D77" s="9" t="s">
        <v>212</v>
      </c>
      <c r="E77" s="358">
        <f t="shared" si="16"/>
        <v>299356</v>
      </c>
      <c r="F77" s="29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.75" hidden="1" customHeight="1" outlineLevel="1" x14ac:dyDescent="0.3">
      <c r="A78" s="341" t="s">
        <v>214</v>
      </c>
      <c r="B78" s="359">
        <f>3.5/12</f>
        <v>0.29166666666666669</v>
      </c>
      <c r="C78" s="360">
        <v>442260</v>
      </c>
      <c r="D78" s="9" t="s">
        <v>212</v>
      </c>
      <c r="E78" s="358">
        <f t="shared" si="16"/>
        <v>128992.50000000001</v>
      </c>
      <c r="F78" s="29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.75" hidden="1" customHeight="1" outlineLevel="1" x14ac:dyDescent="0.3">
      <c r="A79" s="341" t="s">
        <v>215</v>
      </c>
      <c r="B79" s="359">
        <v>0.5</v>
      </c>
      <c r="C79" s="360">
        <v>435000</v>
      </c>
      <c r="D79" s="9" t="s">
        <v>212</v>
      </c>
      <c r="E79" s="358">
        <f t="shared" si="16"/>
        <v>217500</v>
      </c>
      <c r="F79" s="29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.75" hidden="1" customHeight="1" outlineLevel="1" x14ac:dyDescent="0.3">
      <c r="A80" s="341" t="s">
        <v>216</v>
      </c>
      <c r="B80" s="361">
        <f>0.2*1/6</f>
        <v>3.3333333333333333E-2</v>
      </c>
      <c r="C80" s="362">
        <v>400000</v>
      </c>
      <c r="D80" s="363"/>
      <c r="E80" s="358">
        <f t="shared" si="16"/>
        <v>13333.333333333334</v>
      </c>
      <c r="F80" s="29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.75" customHeight="1" collapsed="1" x14ac:dyDescent="0.3">
      <c r="A81" s="28" t="s">
        <v>217</v>
      </c>
      <c r="B81" s="364">
        <v>0.12</v>
      </c>
      <c r="C81" s="365">
        <f>F75</f>
        <v>815629.5</v>
      </c>
      <c r="D81" s="363" t="s">
        <v>218</v>
      </c>
      <c r="E81" s="297"/>
      <c r="F81" s="315">
        <f t="shared" ref="F81:F84" si="17">B81*C81</f>
        <v>97875.54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.75" customHeight="1" x14ac:dyDescent="0.3">
      <c r="A82" s="28" t="s">
        <v>219</v>
      </c>
      <c r="B82" s="366">
        <v>0.14099999999999999</v>
      </c>
      <c r="C82" s="367">
        <f>F75+F84</f>
        <v>856410.97499999998</v>
      </c>
      <c r="D82" s="368" t="s">
        <v>218</v>
      </c>
      <c r="E82" s="297"/>
      <c r="F82" s="315">
        <f t="shared" si="17"/>
        <v>120753.94747499998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.75" customHeight="1" x14ac:dyDescent="0.3">
      <c r="A83" s="28" t="s">
        <v>220</v>
      </c>
      <c r="B83" s="366">
        <v>0.14099999999999999</v>
      </c>
      <c r="C83" s="367">
        <f>F81</f>
        <v>97875.54</v>
      </c>
      <c r="D83" s="368" t="s">
        <v>221</v>
      </c>
      <c r="E83" s="297"/>
      <c r="F83" s="315">
        <f t="shared" si="17"/>
        <v>13800.451139999997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.75" customHeight="1" x14ac:dyDescent="0.3">
      <c r="A84" s="28" t="s">
        <v>222</v>
      </c>
      <c r="B84" s="369">
        <v>0.05</v>
      </c>
      <c r="C84" s="370">
        <f>F75</f>
        <v>815629.5</v>
      </c>
      <c r="D84" s="363" t="s">
        <v>218</v>
      </c>
      <c r="E84" s="297"/>
      <c r="F84" s="315">
        <f t="shared" si="17"/>
        <v>40781.475000000006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.75" customHeight="1" x14ac:dyDescent="0.3">
      <c r="A85" s="28" t="s">
        <v>223</v>
      </c>
      <c r="B85" s="371"/>
      <c r="C85" s="371"/>
      <c r="D85" s="9"/>
      <c r="E85" s="352"/>
      <c r="F85" s="353">
        <v>3000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.75" customHeight="1" x14ac:dyDescent="0.3">
      <c r="A86" s="275" t="s">
        <v>224</v>
      </c>
      <c r="B86" s="276"/>
      <c r="C86" s="276"/>
      <c r="D86" s="276"/>
      <c r="E86" s="372"/>
      <c r="F86" s="373">
        <f>SUM(F75:F85)</f>
        <v>1091840.913615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.75" customHeight="1" x14ac:dyDescent="0.3">
      <c r="A87" s="28"/>
      <c r="B87" s="374"/>
      <c r="C87" s="374"/>
      <c r="D87" s="9"/>
      <c r="E87" s="37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.75" customHeight="1" x14ac:dyDescent="0.3">
      <c r="A88" s="275" t="s">
        <v>225</v>
      </c>
      <c r="B88" s="276" t="s">
        <v>165</v>
      </c>
      <c r="C88" s="276" t="s">
        <v>166</v>
      </c>
      <c r="D88" s="276" t="s">
        <v>167</v>
      </c>
      <c r="E88" s="956" t="s">
        <v>136</v>
      </c>
      <c r="F88" s="955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.75" customHeight="1" x14ac:dyDescent="0.3">
      <c r="A89" s="28" t="s">
        <v>226</v>
      </c>
      <c r="B89" s="321"/>
      <c r="C89" s="321"/>
      <c r="D89" s="24"/>
      <c r="E89" s="375"/>
      <c r="F89" s="376">
        <f>SUM(E90:E93)</f>
        <v>181519.9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.75" customHeight="1" outlineLevel="1" x14ac:dyDescent="0.3">
      <c r="A90" s="341" t="s">
        <v>227</v>
      </c>
      <c r="B90" s="301">
        <v>4</v>
      </c>
      <c r="C90" s="301">
        <v>39564.15</v>
      </c>
      <c r="D90" s="24" t="s">
        <v>228</v>
      </c>
      <c r="E90" s="358">
        <f t="shared" ref="E90:E92" si="18">B90*C90</f>
        <v>158256.6</v>
      </c>
      <c r="F90" s="306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.75" customHeight="1" outlineLevel="1" x14ac:dyDescent="0.3">
      <c r="A91" s="341" t="s">
        <v>229</v>
      </c>
      <c r="B91" s="301">
        <v>2</v>
      </c>
      <c r="C91" s="301">
        <v>1767.65</v>
      </c>
      <c r="D91" s="24" t="s">
        <v>230</v>
      </c>
      <c r="E91" s="358">
        <f t="shared" si="18"/>
        <v>3535.3</v>
      </c>
      <c r="F91" s="306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.75" customHeight="1" outlineLevel="1" x14ac:dyDescent="0.3">
      <c r="A92" s="341" t="s">
        <v>231</v>
      </c>
      <c r="B92" s="301">
        <v>4</v>
      </c>
      <c r="C92" s="301">
        <v>3800</v>
      </c>
      <c r="D92" s="24" t="s">
        <v>228</v>
      </c>
      <c r="E92" s="358">
        <f t="shared" si="18"/>
        <v>15200</v>
      </c>
      <c r="F92" s="306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.75" customHeight="1" outlineLevel="1" x14ac:dyDescent="0.3">
      <c r="A93" s="341" t="s">
        <v>232</v>
      </c>
      <c r="B93" s="377"/>
      <c r="C93" s="377"/>
      <c r="D93" s="24" t="s">
        <v>233</v>
      </c>
      <c r="E93" s="301">
        <v>4528</v>
      </c>
      <c r="F93" s="306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.75" customHeight="1" x14ac:dyDescent="0.3">
      <c r="A94" s="28" t="s">
        <v>234</v>
      </c>
      <c r="B94" s="378"/>
      <c r="C94" s="378"/>
      <c r="D94" s="24"/>
      <c r="E94" s="223"/>
      <c r="F94" s="329">
        <f>K21</f>
        <v>93565.880721220528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.75" customHeight="1" x14ac:dyDescent="0.3">
      <c r="A95" s="28" t="s">
        <v>235</v>
      </c>
      <c r="B95" s="379"/>
      <c r="C95" s="379"/>
      <c r="D95" s="24"/>
      <c r="E95" s="223"/>
      <c r="F95" s="329">
        <f>SUM(E96:E98)</f>
        <v>16297.44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.75" customHeight="1" outlineLevel="1" x14ac:dyDescent="0.3">
      <c r="A96" s="341" t="s">
        <v>236</v>
      </c>
      <c r="B96" s="301">
        <v>12</v>
      </c>
      <c r="C96" s="301">
        <v>56.25</v>
      </c>
      <c r="D96" s="24" t="s">
        <v>237</v>
      </c>
      <c r="E96" s="358">
        <f t="shared" ref="E96:E98" si="19">B96*C96</f>
        <v>675</v>
      </c>
      <c r="F96" s="306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.75" customHeight="1" outlineLevel="1" x14ac:dyDescent="0.3">
      <c r="A97" s="341" t="s">
        <v>238</v>
      </c>
      <c r="B97" s="301">
        <v>12</v>
      </c>
      <c r="C97" s="301">
        <v>130.87</v>
      </c>
      <c r="D97" s="24" t="s">
        <v>237</v>
      </c>
      <c r="E97" s="358">
        <f t="shared" si="19"/>
        <v>1570.44</v>
      </c>
      <c r="F97" s="306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.75" customHeight="1" outlineLevel="1" x14ac:dyDescent="0.3">
      <c r="A98" s="341" t="s">
        <v>239</v>
      </c>
      <c r="B98" s="301">
        <v>12</v>
      </c>
      <c r="C98" s="301">
        <v>1171</v>
      </c>
      <c r="D98" s="24" t="s">
        <v>237</v>
      </c>
      <c r="E98" s="358">
        <f t="shared" si="19"/>
        <v>14052</v>
      </c>
      <c r="F98" s="306"/>
      <c r="G98" s="2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.75" customHeight="1" x14ac:dyDescent="0.3">
      <c r="A99" s="28" t="s">
        <v>240</v>
      </c>
      <c r="B99" s="377"/>
      <c r="C99" s="377"/>
      <c r="D99" s="24"/>
      <c r="E99" s="223"/>
      <c r="F99" s="329">
        <f>SUM(E100:E101)</f>
        <v>2500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.75" customHeight="1" outlineLevel="1" x14ac:dyDescent="0.3">
      <c r="A100" s="341" t="s">
        <v>241</v>
      </c>
      <c r="B100" s="371"/>
      <c r="C100" s="371"/>
      <c r="D100" s="24"/>
      <c r="E100" s="301">
        <v>1000</v>
      </c>
      <c r="F100" s="306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.75" customHeight="1" outlineLevel="1" x14ac:dyDescent="0.3">
      <c r="A101" s="341" t="s">
        <v>242</v>
      </c>
      <c r="B101" s="371"/>
      <c r="C101" s="371"/>
      <c r="D101" s="24"/>
      <c r="E101" s="301">
        <v>1500</v>
      </c>
      <c r="F101" s="306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.75" customHeight="1" x14ac:dyDescent="0.3">
      <c r="A102" s="28" t="s">
        <v>243</v>
      </c>
      <c r="B102" s="371"/>
      <c r="C102" s="371"/>
      <c r="D102" s="24"/>
      <c r="E102" s="223"/>
      <c r="F102" s="329">
        <f>L21</f>
        <v>3145.37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.75" customHeight="1" x14ac:dyDescent="0.3">
      <c r="A103" s="28" t="s">
        <v>244</v>
      </c>
      <c r="B103" s="371"/>
      <c r="C103" s="371"/>
      <c r="D103" s="24"/>
      <c r="E103" s="223"/>
      <c r="F103" s="329">
        <f>SUM(E104:E105)</f>
        <v>4500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.75" customHeight="1" outlineLevel="1" x14ac:dyDescent="0.3">
      <c r="A104" s="341" t="s">
        <v>245</v>
      </c>
      <c r="B104" s="371"/>
      <c r="C104" s="371"/>
      <c r="D104" s="24"/>
      <c r="E104" s="301">
        <v>2500</v>
      </c>
      <c r="F104" s="306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.75" customHeight="1" outlineLevel="1" x14ac:dyDescent="0.3">
      <c r="A105" s="341" t="s">
        <v>246</v>
      </c>
      <c r="B105" s="371"/>
      <c r="C105" s="371"/>
      <c r="D105" s="24"/>
      <c r="E105" s="301">
        <v>2000</v>
      </c>
      <c r="F105" s="306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.75" customHeight="1" x14ac:dyDescent="0.3">
      <c r="A106" s="28" t="s">
        <v>247</v>
      </c>
      <c r="B106" s="371"/>
      <c r="C106" s="371"/>
      <c r="D106" s="24"/>
      <c r="E106" s="223"/>
      <c r="F106" s="331">
        <v>75000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.75" customHeight="1" x14ac:dyDescent="0.3">
      <c r="A107" s="28" t="s">
        <v>248</v>
      </c>
      <c r="B107" s="371"/>
      <c r="C107" s="371"/>
      <c r="D107" s="24"/>
      <c r="E107" s="223"/>
      <c r="F107" s="331">
        <v>80000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.75" customHeight="1" x14ac:dyDescent="0.3">
      <c r="A108" s="28" t="s">
        <v>249</v>
      </c>
      <c r="B108" s="371"/>
      <c r="C108" s="371"/>
      <c r="D108" s="24"/>
      <c r="E108" s="223"/>
      <c r="F108" s="331">
        <v>0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.75" customHeight="1" x14ac:dyDescent="0.3">
      <c r="A109" s="28" t="s">
        <v>250</v>
      </c>
      <c r="B109" s="371"/>
      <c r="C109" s="371"/>
      <c r="D109" s="24"/>
      <c r="E109" s="223"/>
      <c r="F109" s="329">
        <f>SUM(E110:E122)</f>
        <v>117317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.75" customHeight="1" outlineLevel="1" x14ac:dyDescent="0.3">
      <c r="A110" s="341" t="s">
        <v>251</v>
      </c>
      <c r="B110" s="379"/>
      <c r="C110" s="379"/>
      <c r="D110" s="24"/>
      <c r="E110" s="301">
        <v>70000</v>
      </c>
      <c r="F110" s="306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.75" customHeight="1" outlineLevel="1" x14ac:dyDescent="0.3">
      <c r="A111" s="341" t="s">
        <v>252</v>
      </c>
      <c r="B111" s="301">
        <v>12</v>
      </c>
      <c r="C111" s="301">
        <v>150</v>
      </c>
      <c r="D111" s="24" t="s">
        <v>237</v>
      </c>
      <c r="E111" s="358">
        <f t="shared" ref="E111:E114" si="20">B111*C111</f>
        <v>1800</v>
      </c>
      <c r="F111" s="306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.75" customHeight="1" outlineLevel="1" x14ac:dyDescent="0.3">
      <c r="A112" s="341" t="s">
        <v>253</v>
      </c>
      <c r="B112" s="301">
        <v>12</v>
      </c>
      <c r="C112" s="301">
        <v>660</v>
      </c>
      <c r="D112" s="24" t="s">
        <v>237</v>
      </c>
      <c r="E112" s="358">
        <f t="shared" si="20"/>
        <v>7920</v>
      </c>
      <c r="F112" s="306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.75" customHeight="1" outlineLevel="1" x14ac:dyDescent="0.3">
      <c r="A113" s="341" t="s">
        <v>254</v>
      </c>
      <c r="B113" s="301">
        <v>6</v>
      </c>
      <c r="C113" s="380">
        <v>2500</v>
      </c>
      <c r="D113" s="24" t="s">
        <v>255</v>
      </c>
      <c r="E113" s="358">
        <f t="shared" si="20"/>
        <v>15000</v>
      </c>
      <c r="F113" s="306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.75" customHeight="1" outlineLevel="1" x14ac:dyDescent="0.3">
      <c r="A114" s="341" t="s">
        <v>256</v>
      </c>
      <c r="B114" s="301">
        <v>12</v>
      </c>
      <c r="C114" s="301">
        <v>535</v>
      </c>
      <c r="D114" s="24" t="s">
        <v>237</v>
      </c>
      <c r="E114" s="358">
        <f t="shared" si="20"/>
        <v>6420</v>
      </c>
      <c r="F114" s="306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.75" customHeight="1" outlineLevel="1" x14ac:dyDescent="0.3">
      <c r="A115" s="341" t="s">
        <v>257</v>
      </c>
      <c r="B115" s="321"/>
      <c r="C115" s="321"/>
      <c r="D115" s="24"/>
      <c r="E115" s="301">
        <v>5000</v>
      </c>
      <c r="F115" s="306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.75" customHeight="1" outlineLevel="1" x14ac:dyDescent="0.3">
      <c r="A116" s="341" t="s">
        <v>258</v>
      </c>
      <c r="B116" s="301">
        <v>3</v>
      </c>
      <c r="C116" s="301">
        <v>355</v>
      </c>
      <c r="D116" s="24" t="s">
        <v>237</v>
      </c>
      <c r="E116" s="358">
        <f t="shared" ref="E116:E120" si="21">B116*C116</f>
        <v>1065</v>
      </c>
      <c r="F116" s="306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.75" customHeight="1" outlineLevel="1" x14ac:dyDescent="0.3">
      <c r="A117" s="341" t="s">
        <v>259</v>
      </c>
      <c r="B117" s="301">
        <v>12</v>
      </c>
      <c r="C117" s="301">
        <v>125</v>
      </c>
      <c r="D117" s="24" t="s">
        <v>237</v>
      </c>
      <c r="E117" s="358">
        <f t="shared" si="21"/>
        <v>1500</v>
      </c>
      <c r="F117" s="306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.75" customHeight="1" outlineLevel="1" x14ac:dyDescent="0.3">
      <c r="A118" s="341" t="s">
        <v>260</v>
      </c>
      <c r="B118" s="301">
        <v>6</v>
      </c>
      <c r="C118" s="301">
        <v>170</v>
      </c>
      <c r="D118" s="24" t="s">
        <v>237</v>
      </c>
      <c r="E118" s="358">
        <f t="shared" si="21"/>
        <v>1020</v>
      </c>
      <c r="F118" s="306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.75" customHeight="1" outlineLevel="1" x14ac:dyDescent="0.3">
      <c r="A119" s="381" t="s">
        <v>261</v>
      </c>
      <c r="B119" s="380">
        <v>1</v>
      </c>
      <c r="C119" s="380">
        <v>2388</v>
      </c>
      <c r="D119" s="382" t="s">
        <v>233</v>
      </c>
      <c r="E119" s="358">
        <f t="shared" si="21"/>
        <v>2388</v>
      </c>
      <c r="F119" s="306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.75" customHeight="1" outlineLevel="1" x14ac:dyDescent="0.3">
      <c r="A120" s="341" t="s">
        <v>262</v>
      </c>
      <c r="B120" s="301">
        <v>12</v>
      </c>
      <c r="C120" s="301">
        <v>17</v>
      </c>
      <c r="D120" s="24" t="s">
        <v>237</v>
      </c>
      <c r="E120" s="358">
        <f t="shared" si="21"/>
        <v>204</v>
      </c>
      <c r="F120" s="306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.75" customHeight="1" outlineLevel="1" x14ac:dyDescent="0.3">
      <c r="A121" s="341" t="s">
        <v>263</v>
      </c>
      <c r="B121" s="377"/>
      <c r="C121" s="377"/>
      <c r="D121" s="24"/>
      <c r="E121" s="301"/>
      <c r="F121" s="306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.75" customHeight="1" outlineLevel="1" x14ac:dyDescent="0.3">
      <c r="A122" s="341" t="s">
        <v>264</v>
      </c>
      <c r="B122" s="371"/>
      <c r="C122" s="371"/>
      <c r="D122" s="24"/>
      <c r="E122" s="301">
        <v>5000</v>
      </c>
      <c r="F122" s="306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.75" customHeight="1" x14ac:dyDescent="0.3">
      <c r="A123" s="338" t="s">
        <v>265</v>
      </c>
      <c r="B123" s="371"/>
      <c r="C123" s="371"/>
      <c r="D123" s="24"/>
      <c r="E123" s="223"/>
      <c r="F123" s="383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.75" customHeight="1" x14ac:dyDescent="0.3">
      <c r="A124" s="28" t="s">
        <v>266</v>
      </c>
      <c r="B124" s="371"/>
      <c r="C124" s="371"/>
      <c r="D124" s="24"/>
      <c r="E124" s="223"/>
      <c r="F124" s="329">
        <f>SUM(E125:E126)</f>
        <v>6000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.75" customHeight="1" outlineLevel="1" x14ac:dyDescent="0.3">
      <c r="A125" s="341" t="s">
        <v>267</v>
      </c>
      <c r="B125" s="371"/>
      <c r="C125" s="371"/>
      <c r="D125" s="24"/>
      <c r="E125" s="358">
        <f>D29</f>
        <v>3000</v>
      </c>
      <c r="F125" s="306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.75" customHeight="1" outlineLevel="1" x14ac:dyDescent="0.3">
      <c r="A126" s="341" t="s">
        <v>268</v>
      </c>
      <c r="B126" s="371"/>
      <c r="C126" s="371"/>
      <c r="D126" s="24"/>
      <c r="E126" s="358">
        <f>D36</f>
        <v>3000</v>
      </c>
      <c r="F126" s="306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.75" customHeight="1" x14ac:dyDescent="0.3">
      <c r="A127" s="28" t="s">
        <v>269</v>
      </c>
      <c r="B127" s="371"/>
      <c r="C127" s="371"/>
      <c r="D127" s="24"/>
      <c r="E127" s="223"/>
      <c r="F127" s="329">
        <f>SUM(E128:E131)</f>
        <v>110118.58034013608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.75" customHeight="1" outlineLevel="1" x14ac:dyDescent="0.3">
      <c r="A128" s="341" t="s">
        <v>270</v>
      </c>
      <c r="B128" s="371"/>
      <c r="C128" s="371"/>
      <c r="D128" s="24"/>
      <c r="E128" s="301">
        <v>3000</v>
      </c>
      <c r="F128" s="306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.75" customHeight="1" outlineLevel="1" x14ac:dyDescent="0.3">
      <c r="A129" s="341" t="s">
        <v>271</v>
      </c>
      <c r="B129" s="371"/>
      <c r="C129" s="371"/>
      <c r="D129" s="24"/>
      <c r="E129" s="358">
        <f>H21</f>
        <v>95118.580340136075</v>
      </c>
      <c r="F129" s="306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.75" customHeight="1" outlineLevel="1" x14ac:dyDescent="0.3">
      <c r="A130" s="341" t="s">
        <v>272</v>
      </c>
      <c r="B130" s="371"/>
      <c r="C130" s="371"/>
      <c r="D130" s="24"/>
      <c r="E130" s="358">
        <f>H29</f>
        <v>0</v>
      </c>
      <c r="F130" s="306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.75" customHeight="1" outlineLevel="1" x14ac:dyDescent="0.3">
      <c r="A131" s="341" t="s">
        <v>273</v>
      </c>
      <c r="B131" s="371"/>
      <c r="C131" s="371"/>
      <c r="D131" s="24"/>
      <c r="E131" s="358">
        <f>H36</f>
        <v>12000</v>
      </c>
      <c r="F131" s="306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.75" customHeight="1" x14ac:dyDescent="0.3">
      <c r="A132" s="28" t="s">
        <v>274</v>
      </c>
      <c r="B132" s="379"/>
      <c r="C132" s="379"/>
      <c r="D132" s="24"/>
      <c r="E132" s="223"/>
      <c r="F132" s="329">
        <f>SUM(E133:E134)</f>
        <v>5535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.75" customHeight="1" outlineLevel="1" x14ac:dyDescent="0.3">
      <c r="A133" s="341" t="s">
        <v>275</v>
      </c>
      <c r="B133" s="301">
        <v>12</v>
      </c>
      <c r="C133" s="301">
        <v>161.25</v>
      </c>
      <c r="D133" s="24" t="s">
        <v>237</v>
      </c>
      <c r="E133" s="358">
        <f t="shared" ref="E133:E134" si="22">B133*C133</f>
        <v>1935</v>
      </c>
      <c r="F133" s="306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.75" customHeight="1" outlineLevel="1" x14ac:dyDescent="0.3">
      <c r="A134" s="341" t="s">
        <v>276</v>
      </c>
      <c r="B134" s="301">
        <v>12</v>
      </c>
      <c r="C134" s="301">
        <v>300</v>
      </c>
      <c r="D134" s="24" t="s">
        <v>237</v>
      </c>
      <c r="E134" s="358">
        <f t="shared" si="22"/>
        <v>3600</v>
      </c>
      <c r="F134" s="306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.75" customHeight="1" x14ac:dyDescent="0.3">
      <c r="A135" s="28" t="s">
        <v>277</v>
      </c>
      <c r="B135" s="377"/>
      <c r="C135" s="377"/>
      <c r="D135" s="24"/>
      <c r="E135" s="223"/>
      <c r="F135" s="329">
        <f>SUM(E136:E138)</f>
        <v>27000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.75" customHeight="1" outlineLevel="1" x14ac:dyDescent="0.3">
      <c r="A136" s="341" t="s">
        <v>278</v>
      </c>
      <c r="B136" s="378"/>
      <c r="C136" s="378"/>
      <c r="D136" s="24"/>
      <c r="E136" s="301">
        <v>25000</v>
      </c>
      <c r="F136" s="306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.75" customHeight="1" outlineLevel="1" x14ac:dyDescent="0.3">
      <c r="A137" s="341" t="s">
        <v>279</v>
      </c>
      <c r="B137" s="378"/>
      <c r="C137" s="378"/>
      <c r="D137" s="24"/>
      <c r="E137" s="301">
        <v>1000</v>
      </c>
      <c r="F137" s="306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.75" customHeight="1" outlineLevel="1" x14ac:dyDescent="0.3">
      <c r="A138" s="341" t="s">
        <v>280</v>
      </c>
      <c r="B138" s="378"/>
      <c r="C138" s="378"/>
      <c r="D138" s="24"/>
      <c r="E138" s="301">
        <v>1000</v>
      </c>
      <c r="F138" s="306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.75" customHeight="1" x14ac:dyDescent="0.3">
      <c r="A139" s="28" t="s">
        <v>281</v>
      </c>
      <c r="B139" s="371"/>
      <c r="C139" s="371"/>
      <c r="D139" s="24"/>
      <c r="E139" s="223"/>
      <c r="F139" s="331">
        <v>7000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.75" customHeight="1" x14ac:dyDescent="0.3">
      <c r="A140" s="28" t="s">
        <v>282</v>
      </c>
      <c r="B140" s="371"/>
      <c r="C140" s="371"/>
      <c r="D140" s="24"/>
      <c r="E140" s="223"/>
      <c r="F140" s="331">
        <v>2000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.75" customHeight="1" x14ac:dyDescent="0.3">
      <c r="A141" s="28" t="s">
        <v>283</v>
      </c>
      <c r="B141" s="371"/>
      <c r="C141" s="371"/>
      <c r="D141" s="384"/>
      <c r="E141" s="312"/>
      <c r="F141" s="329">
        <f>SUM(E142:E144)</f>
        <v>146737.98000000001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ht="12.75" customHeight="1" outlineLevel="1" x14ac:dyDescent="0.3">
      <c r="A142" s="341" t="s">
        <v>284</v>
      </c>
      <c r="B142" s="378"/>
      <c r="C142" s="378"/>
      <c r="D142" s="384"/>
      <c r="E142" s="358">
        <f>SUM(F21)</f>
        <v>84737.98000000001</v>
      </c>
      <c r="F142" s="385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ht="12.75" customHeight="1" outlineLevel="1" x14ac:dyDescent="0.3">
      <c r="A143" s="341" t="s">
        <v>267</v>
      </c>
      <c r="B143" s="378"/>
      <c r="C143" s="378"/>
      <c r="D143" s="24"/>
      <c r="E143" s="358">
        <f>F29</f>
        <v>50000</v>
      </c>
      <c r="F143" s="385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9"/>
    </row>
    <row r="144" spans="1:27" ht="12.75" customHeight="1" outlineLevel="1" x14ac:dyDescent="0.3">
      <c r="A144" s="341" t="s">
        <v>285</v>
      </c>
      <c r="B144" s="378"/>
      <c r="C144" s="378"/>
      <c r="D144" s="24"/>
      <c r="E144" s="358">
        <f>SUM(F36)</f>
        <v>12000</v>
      </c>
      <c r="F144" s="385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9"/>
    </row>
    <row r="145" spans="1:27" ht="12.75" customHeight="1" x14ac:dyDescent="0.3">
      <c r="A145" s="312" t="s">
        <v>286</v>
      </c>
      <c r="B145" s="378"/>
      <c r="C145" s="378"/>
      <c r="D145" s="24"/>
      <c r="E145" s="223"/>
      <c r="F145" s="329">
        <f>SUM(E146:E148)</f>
        <v>191988.77551020408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9"/>
    </row>
    <row r="146" spans="1:27" ht="12.75" customHeight="1" outlineLevel="1" x14ac:dyDescent="0.3">
      <c r="A146" s="341" t="s">
        <v>284</v>
      </c>
      <c r="B146" s="378"/>
      <c r="C146" s="378"/>
      <c r="D146" s="24"/>
      <c r="E146" s="358">
        <f>J21</f>
        <v>187988.77551020408</v>
      </c>
      <c r="F146" s="385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9"/>
    </row>
    <row r="147" spans="1:27" ht="12.75" customHeight="1" outlineLevel="1" x14ac:dyDescent="0.3">
      <c r="A147" s="341" t="s">
        <v>267</v>
      </c>
      <c r="B147" s="378"/>
      <c r="C147" s="378"/>
      <c r="D147" s="24"/>
      <c r="E147" s="358">
        <f>J29</f>
        <v>0</v>
      </c>
      <c r="F147" s="385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9"/>
    </row>
    <row r="148" spans="1:27" ht="12.75" customHeight="1" outlineLevel="1" x14ac:dyDescent="0.3">
      <c r="A148" s="341" t="s">
        <v>285</v>
      </c>
      <c r="B148" s="378"/>
      <c r="C148" s="378"/>
      <c r="D148" s="384"/>
      <c r="E148" s="358">
        <f>J36</f>
        <v>4000</v>
      </c>
      <c r="F148" s="385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ht="12.75" customHeight="1" x14ac:dyDescent="0.3">
      <c r="A149" s="312" t="s">
        <v>287</v>
      </c>
      <c r="B149" s="378"/>
      <c r="C149" s="378"/>
      <c r="D149" s="384"/>
      <c r="E149" s="312"/>
      <c r="F149" s="329">
        <f>SUM(E150:E151)</f>
        <v>75000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12.75" customHeight="1" outlineLevel="1" x14ac:dyDescent="0.3">
      <c r="A150" s="341" t="s">
        <v>288</v>
      </c>
      <c r="B150" s="378"/>
      <c r="C150" s="378"/>
      <c r="D150" s="24"/>
      <c r="E150" s="301">
        <v>26000</v>
      </c>
      <c r="F150" s="385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9"/>
    </row>
    <row r="151" spans="1:27" ht="12.75" customHeight="1" x14ac:dyDescent="0.3">
      <c r="A151" s="341" t="s">
        <v>289</v>
      </c>
      <c r="B151" s="378"/>
      <c r="C151" s="378"/>
      <c r="D151" s="384"/>
      <c r="E151" s="301">
        <f>75000-E150</f>
        <v>49000</v>
      </c>
      <c r="F151" s="386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ht="12.75" customHeight="1" x14ac:dyDescent="0.3">
      <c r="A152" s="28"/>
      <c r="B152" s="378"/>
      <c r="C152" s="378"/>
      <c r="D152" s="384"/>
      <c r="E152" s="312"/>
      <c r="F152" s="386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ht="12.75" customHeight="1" x14ac:dyDescent="0.3">
      <c r="A153" s="312" t="s">
        <v>290</v>
      </c>
      <c r="B153" s="378"/>
      <c r="C153" s="378"/>
      <c r="D153" s="384"/>
      <c r="E153" s="312"/>
      <c r="F153" s="329">
        <f>SUM(E154:E158)</f>
        <v>17877.410400000001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12.75" customHeight="1" outlineLevel="1" x14ac:dyDescent="0.3">
      <c r="A154" s="341" t="s">
        <v>291</v>
      </c>
      <c r="B154" s="378"/>
      <c r="C154" s="378"/>
      <c r="D154" s="24"/>
      <c r="E154" s="301">
        <v>800</v>
      </c>
      <c r="F154" s="385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9"/>
    </row>
    <row r="155" spans="1:27" ht="12.75" customHeight="1" outlineLevel="1" x14ac:dyDescent="0.3">
      <c r="A155" s="341" t="s">
        <v>292</v>
      </c>
      <c r="B155" s="387">
        <v>8.4999999999999995E-4</v>
      </c>
      <c r="C155" s="388">
        <f>3956536+16888</f>
        <v>3973424</v>
      </c>
      <c r="D155" s="24" t="s">
        <v>237</v>
      </c>
      <c r="E155" s="358">
        <f>B155*C155</f>
        <v>3377.4103999999998</v>
      </c>
      <c r="F155" s="385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9"/>
    </row>
    <row r="156" spans="1:27" ht="12.75" customHeight="1" outlineLevel="1" x14ac:dyDescent="0.3">
      <c r="A156" s="341" t="s">
        <v>293</v>
      </c>
      <c r="B156" s="378"/>
      <c r="C156" s="378"/>
      <c r="D156" s="24"/>
      <c r="E156" s="301">
        <v>2000</v>
      </c>
      <c r="F156" s="385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9"/>
    </row>
    <row r="157" spans="1:27" ht="12.75" customHeight="1" outlineLevel="1" x14ac:dyDescent="0.3">
      <c r="A157" s="341" t="s">
        <v>294</v>
      </c>
      <c r="B157" s="378"/>
      <c r="C157" s="378"/>
      <c r="D157" s="24"/>
      <c r="E157" s="301">
        <v>2000</v>
      </c>
      <c r="F157" s="385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9"/>
    </row>
    <row r="158" spans="1:27" ht="12.75" customHeight="1" outlineLevel="1" x14ac:dyDescent="0.3">
      <c r="A158" s="341" t="s">
        <v>295</v>
      </c>
      <c r="B158" s="378"/>
      <c r="C158" s="378"/>
      <c r="D158" s="24"/>
      <c r="E158" s="301">
        <v>9700</v>
      </c>
      <c r="F158" s="385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9"/>
    </row>
    <row r="159" spans="1:27" ht="12.75" customHeight="1" x14ac:dyDescent="0.3">
      <c r="A159" s="312" t="s">
        <v>296</v>
      </c>
      <c r="B159" s="371"/>
      <c r="C159" s="371"/>
      <c r="D159" s="384"/>
      <c r="E159" s="312"/>
      <c r="F159" s="329">
        <v>10000</v>
      </c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12.75" customHeight="1" x14ac:dyDescent="0.3">
      <c r="A160" s="312" t="s">
        <v>297</v>
      </c>
      <c r="B160" s="379"/>
      <c r="C160" s="379"/>
      <c r="D160" s="384"/>
      <c r="E160" s="312"/>
      <c r="F160" s="329">
        <f>SUM(E161:E163)</f>
        <v>11790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ht="12.75" customHeight="1" outlineLevel="1" x14ac:dyDescent="0.3">
      <c r="A161" s="341" t="s">
        <v>298</v>
      </c>
      <c r="B161" s="301">
        <v>12</v>
      </c>
      <c r="C161" s="301">
        <v>650</v>
      </c>
      <c r="D161" s="24" t="s">
        <v>237</v>
      </c>
      <c r="E161" s="358">
        <f t="shared" ref="E161:E163" si="23">B161*C161</f>
        <v>7800</v>
      </c>
      <c r="F161" s="385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9"/>
    </row>
    <row r="162" spans="1:27" ht="12.75" customHeight="1" outlineLevel="1" x14ac:dyDescent="0.3">
      <c r="A162" s="341" t="s">
        <v>299</v>
      </c>
      <c r="B162" s="301">
        <v>12</v>
      </c>
      <c r="C162" s="301">
        <v>20</v>
      </c>
      <c r="D162" s="24" t="s">
        <v>237</v>
      </c>
      <c r="E162" s="358">
        <f t="shared" si="23"/>
        <v>240</v>
      </c>
      <c r="F162" s="385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9"/>
    </row>
    <row r="163" spans="1:27" ht="12.75" customHeight="1" outlineLevel="1" x14ac:dyDescent="0.3">
      <c r="A163" s="341" t="s">
        <v>300</v>
      </c>
      <c r="B163" s="301">
        <v>5</v>
      </c>
      <c r="C163" s="301">
        <v>750</v>
      </c>
      <c r="D163" s="24" t="s">
        <v>301</v>
      </c>
      <c r="E163" s="358">
        <f t="shared" si="23"/>
        <v>3750</v>
      </c>
      <c r="F163" s="385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9"/>
    </row>
    <row r="164" spans="1:27" ht="12.75" customHeight="1" x14ac:dyDescent="0.3">
      <c r="A164" s="338" t="s">
        <v>302</v>
      </c>
      <c r="B164" s="377"/>
      <c r="C164" s="377"/>
      <c r="D164" s="24"/>
      <c r="E164" s="389"/>
      <c r="F164" s="390">
        <v>2000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9"/>
    </row>
    <row r="165" spans="1:27" ht="12.75" customHeight="1" x14ac:dyDescent="0.3">
      <c r="A165" s="275" t="s">
        <v>151</v>
      </c>
      <c r="B165" s="391"/>
      <c r="C165" s="391"/>
      <c r="D165" s="391"/>
      <c r="E165" s="391"/>
      <c r="F165" s="392">
        <f>SUM(F89:F164)</f>
        <v>1186893.3369715605</v>
      </c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9"/>
    </row>
    <row r="166" spans="1:27" ht="12.75" customHeight="1" x14ac:dyDescent="0.3">
      <c r="A166" s="9"/>
      <c r="B166" s="9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9"/>
    </row>
    <row r="167" spans="1:27" ht="12.7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.7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8.5" x14ac:dyDescent="0.3">
      <c r="A169" s="309" t="s">
        <v>303</v>
      </c>
      <c r="B169" s="309"/>
      <c r="C169" s="309"/>
      <c r="D169" s="309"/>
      <c r="E169" s="309"/>
      <c r="F169" s="309">
        <f>F58-F72-F86-F165</f>
        <v>338989.79675430246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.7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.7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.7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.7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.7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.7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.7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.7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.7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.7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.7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.7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.7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.7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.7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.7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.7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.7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.7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.7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.7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.7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.7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.7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.7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.7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.7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.7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.7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.7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.7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.7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.7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.7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.7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.7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.7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.7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.7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.7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.7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.7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.7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.7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.7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.7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.7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.7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.7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.7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.7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.75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.75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.75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.75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.7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.7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.7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2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2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2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2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2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2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2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2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2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2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2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2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2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2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2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2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2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2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2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2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2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2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2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2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2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2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2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2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2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2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2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2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2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2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2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2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2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2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2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2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2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2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2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2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2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2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2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2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2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2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2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2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2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2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2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2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2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2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2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2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2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2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2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2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2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2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2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2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2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2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2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2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2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2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2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2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2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2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2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2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2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2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2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2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2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2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2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2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2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2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2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2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2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2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2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2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2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2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2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2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2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2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2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2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2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2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2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2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2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2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2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2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2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2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2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2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2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2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2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2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2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2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2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2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2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2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2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2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2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2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2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2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2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2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2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2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2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2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2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2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2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2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2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2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2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2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2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2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2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2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2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2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2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2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2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2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2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2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2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2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2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2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2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2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2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2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2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2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2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2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2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2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2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2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2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2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2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2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2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2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2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2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2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2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2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2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2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2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2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2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2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2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2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2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2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2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2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2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2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2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2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2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2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2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2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2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2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2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2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2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2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2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2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2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2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2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2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2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2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2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2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2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2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2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2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2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2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2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2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2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2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2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2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2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2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2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2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2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2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2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2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2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2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2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2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2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2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2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2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2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2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2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2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2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2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2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2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2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2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2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2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2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2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2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2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2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2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2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2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2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2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2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2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2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2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2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2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2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2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2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2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2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2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2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2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2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2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2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2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2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2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2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2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2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2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2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2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2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2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2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2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2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2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2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2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2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2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2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2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2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2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2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2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2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2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2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2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2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2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2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2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2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2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2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2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2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2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2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2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2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2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2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2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2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2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2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2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2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2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2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2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2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2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2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2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2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2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2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2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2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2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2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2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2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2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2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2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2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2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2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2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2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2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2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2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2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2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2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2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2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2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2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2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2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2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2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2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2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2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2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2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2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2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2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2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2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2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2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2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2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2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2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2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2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2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2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2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2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2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2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2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2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2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2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2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2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2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2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2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2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2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2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2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2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2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2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2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2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2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2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2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2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2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2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2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2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2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2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2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2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2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2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2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2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2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2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2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2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2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2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2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2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2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2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2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2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2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2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2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2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2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2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2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2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2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2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2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2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2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2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2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2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2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2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2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2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2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2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2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2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2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2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2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2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2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2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2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2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2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2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2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2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2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2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2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2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2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2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2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2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2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2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2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2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2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2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2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2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2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2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2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2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2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2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2.7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2.7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2.7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2.7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2.7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2.7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2.7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2.7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2.7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2.7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2.7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2.7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2.7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2.7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2.7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2.7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2.7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2.7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2.75" customHeight="1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ht="12.75" customHeight="1" x14ac:dyDescent="0.3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ht="12.75" customHeight="1" x14ac:dyDescent="0.3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ht="12.75" customHeight="1" x14ac:dyDescent="0.3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ht="12.75" customHeight="1" x14ac:dyDescent="0.3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ht="12.75" customHeight="1" x14ac:dyDescent="0.3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ht="12.75" customHeight="1" x14ac:dyDescent="0.3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</row>
  </sheetData>
  <sheetProtection algorithmName="SHA-512" hashValue="v4JmrBhsaCARC8zfTXk+HIK+MNUji7NfldtXtHVgUp94/OZ45Ke46fSAZtq5r9oExTfAtm9e725LAN8xpvZSPw==" saltValue="sC2ko3xZetnHWfsKWrJ60w==" spinCount="100000" sheet="1" objects="1" scenarios="1"/>
  <mergeCells count="12">
    <mergeCell ref="H54:K54"/>
    <mergeCell ref="H55:K55"/>
    <mergeCell ref="C7:D7"/>
    <mergeCell ref="E7:F7"/>
    <mergeCell ref="G7:H7"/>
    <mergeCell ref="I7:J7"/>
    <mergeCell ref="H53:K53"/>
    <mergeCell ref="H56:K56"/>
    <mergeCell ref="H57:K57"/>
    <mergeCell ref="H58:K58"/>
    <mergeCell ref="E74:F74"/>
    <mergeCell ref="E88:F88"/>
  </mergeCells>
  <pageMargins left="0.7" right="0.7" top="0.75" bottom="0.75" header="0" footer="0"/>
  <pageSetup paperSize="9" fitToHeight="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Z99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3984375" defaultRowHeight="15" customHeight="1" outlineLevelRow="2" outlineLevelCol="1" x14ac:dyDescent="0.3"/>
  <cols>
    <col min="1" max="1" width="43.59765625" customWidth="1"/>
    <col min="2" max="3" width="10.59765625" customWidth="1" outlineLevel="1"/>
    <col min="4" max="4" width="11.3984375" customWidth="1" outlineLevel="1"/>
    <col min="5" max="5" width="13.8984375" customWidth="1" outlineLevel="1"/>
    <col min="6" max="6" width="11" customWidth="1" outlineLevel="1"/>
    <col min="7" max="7" width="10.59765625" customWidth="1"/>
    <col min="8" max="8" width="32.09765625" customWidth="1"/>
    <col min="9" max="9" width="37.09765625" customWidth="1"/>
    <col min="10" max="10" width="10.69921875" customWidth="1"/>
    <col min="11" max="11" width="20.8984375" customWidth="1"/>
    <col min="12" max="12" width="11.3984375" customWidth="1"/>
    <col min="13" max="13" width="15.3984375" customWidth="1"/>
    <col min="14" max="14" width="9.8984375" customWidth="1"/>
    <col min="15" max="26" width="45.3984375" customWidth="1"/>
  </cols>
  <sheetData>
    <row r="1" spans="1:26" ht="43.5" x14ac:dyDescent="0.35">
      <c r="A1" s="130"/>
      <c r="B1" s="393" t="s">
        <v>304</v>
      </c>
      <c r="C1" s="393" t="s">
        <v>305</v>
      </c>
      <c r="D1" s="393" t="s">
        <v>306</v>
      </c>
      <c r="E1" s="393" t="s">
        <v>307</v>
      </c>
      <c r="F1" s="393" t="s">
        <v>308</v>
      </c>
      <c r="G1" s="394" t="s">
        <v>151</v>
      </c>
      <c r="H1" s="149"/>
      <c r="I1" s="395" t="s">
        <v>309</v>
      </c>
      <c r="J1" s="393" t="s">
        <v>310</v>
      </c>
      <c r="K1" s="393"/>
      <c r="L1" s="393" t="s">
        <v>311</v>
      </c>
      <c r="M1" s="393"/>
      <c r="N1" s="396" t="s">
        <v>312</v>
      </c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18.5" x14ac:dyDescent="0.35">
      <c r="A2" s="397" t="s">
        <v>163</v>
      </c>
      <c r="B2" s="393"/>
      <c r="C2" s="393"/>
      <c r="D2" s="393"/>
      <c r="E2" s="393"/>
      <c r="F2" s="393"/>
      <c r="G2" s="394"/>
      <c r="H2" s="149"/>
      <c r="I2" s="398" t="s">
        <v>313</v>
      </c>
      <c r="J2" s="399">
        <f>-G4</f>
        <v>107250</v>
      </c>
      <c r="K2" s="399" t="s">
        <v>314</v>
      </c>
      <c r="L2" s="399">
        <f>-G28</f>
        <v>-192500</v>
      </c>
      <c r="M2" s="399"/>
      <c r="N2" s="400">
        <f t="shared" ref="N2:N8" si="0">J2+L2</f>
        <v>-85250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14.25" customHeight="1" outlineLevel="1" x14ac:dyDescent="0.35">
      <c r="A3" s="401" t="s">
        <v>315</v>
      </c>
      <c r="B3" s="402"/>
      <c r="C3" s="402"/>
      <c r="D3" s="402"/>
      <c r="E3" s="402"/>
      <c r="F3" s="402"/>
      <c r="G3" s="401"/>
      <c r="H3" s="149"/>
      <c r="I3" s="403" t="s">
        <v>12</v>
      </c>
      <c r="J3" s="149">
        <f>-G6</f>
        <v>171000</v>
      </c>
      <c r="K3" s="149" t="s">
        <v>314</v>
      </c>
      <c r="L3" s="149">
        <f>-G26</f>
        <v>-171000</v>
      </c>
      <c r="M3" s="149" t="s">
        <v>316</v>
      </c>
      <c r="N3" s="404">
        <f t="shared" si="0"/>
        <v>0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ht="14.25" customHeight="1" outlineLevel="1" x14ac:dyDescent="0.35">
      <c r="A4" s="405" t="s">
        <v>313</v>
      </c>
      <c r="B4" s="406">
        <f>-('Progr. konstanter og variabler'!$B47*'Progr. konstanter og variabler'!B11+'Progr. konstanter og variabler'!B46*'Progr. konstanter og variabler'!C11)</f>
        <v>-68500</v>
      </c>
      <c r="C4" s="406">
        <f>-'Progr. konstanter og variabler'!$B47*'Progr. konstanter og variabler'!D$11</f>
        <v>-32500</v>
      </c>
      <c r="D4" s="406">
        <f>-'Progr. konstanter og variabler'!$B47*'Progr. konstanter og variabler'!E$11</f>
        <v>-6250</v>
      </c>
      <c r="E4" s="407"/>
      <c r="F4" s="407"/>
      <c r="G4" s="408">
        <f>SUM(B4:F4)</f>
        <v>-107250</v>
      </c>
      <c r="H4" s="149"/>
      <c r="I4" s="403" t="s">
        <v>317</v>
      </c>
      <c r="J4" s="149">
        <f>-SUM(G10:G12)</f>
        <v>186818.81720430107</v>
      </c>
      <c r="K4" s="149" t="s">
        <v>314</v>
      </c>
      <c r="L4" s="149">
        <f>-SUM(G38:G61)</f>
        <v>-258638.29282676178</v>
      </c>
      <c r="M4" s="149"/>
      <c r="N4" s="404">
        <f t="shared" si="0"/>
        <v>-71819.475622460712</v>
      </c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26" ht="14.25" customHeight="1" outlineLevel="1" x14ac:dyDescent="0.35">
      <c r="A5" s="87" t="s">
        <v>172</v>
      </c>
      <c r="B5" s="86"/>
      <c r="C5" s="86"/>
      <c r="D5" s="86"/>
      <c r="E5" s="86"/>
      <c r="F5" s="86"/>
      <c r="G5" s="87"/>
      <c r="H5" s="149"/>
      <c r="I5" s="403" t="s">
        <v>318</v>
      </c>
      <c r="J5" s="149">
        <f>-SUM(G16:G18)</f>
        <v>1092015.5618285714</v>
      </c>
      <c r="K5" s="149" t="s">
        <v>314</v>
      </c>
      <c r="L5" s="149">
        <f>-SUM(G35:G37)</f>
        <v>-1092015.5618285714</v>
      </c>
      <c r="M5" s="149" t="s">
        <v>319</v>
      </c>
      <c r="N5" s="404">
        <f t="shared" si="0"/>
        <v>0</v>
      </c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1:26" ht="14.25" customHeight="1" outlineLevel="1" x14ac:dyDescent="0.35">
      <c r="A6" s="405" t="s">
        <v>12</v>
      </c>
      <c r="B6" s="406">
        <f>-'Progr. konstanter og variabler'!$B44*SUM('Progr. konstanter og variabler'!B11:C11)</f>
        <v>-84000</v>
      </c>
      <c r="C6" s="406">
        <f>-'Progr. konstanter og variabler'!$B44*'Progr. konstanter og variabler'!D$11</f>
        <v>-39000</v>
      </c>
      <c r="D6" s="406">
        <f>-'Progr. konstanter og variabler'!$B44*'Progr. konstanter og variabler'!E$11</f>
        <v>-7500</v>
      </c>
      <c r="E6" s="406">
        <f>-'Progr. konstanter og variabler'!$B44*SUM('Progr. konstanter og variabler'!F11:G11)</f>
        <v>-36000</v>
      </c>
      <c r="F6" s="406">
        <f>-'Progr. konstanter og variabler'!$B44*'Progr. konstanter og variabler'!H$11</f>
        <v>-4500</v>
      </c>
      <c r="G6" s="408">
        <f>SUM(B6:F6)</f>
        <v>-171000</v>
      </c>
      <c r="H6" s="149"/>
      <c r="I6" s="403" t="s">
        <v>320</v>
      </c>
      <c r="J6" s="149">
        <f>-G20</f>
        <v>572566.67940000026</v>
      </c>
      <c r="K6" s="149" t="s">
        <v>321</v>
      </c>
      <c r="L6" s="149">
        <f>-SUM(G30:G33)</f>
        <v>-499000</v>
      </c>
      <c r="M6" s="149" t="s">
        <v>322</v>
      </c>
      <c r="N6" s="404">
        <f t="shared" si="0"/>
        <v>73566.679400000256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ht="14.25" customHeight="1" outlineLevel="1" x14ac:dyDescent="0.35">
      <c r="A7" s="401" t="s">
        <v>174</v>
      </c>
      <c r="B7" s="402"/>
      <c r="C7" s="402"/>
      <c r="D7" s="402"/>
      <c r="E7" s="402"/>
      <c r="F7" s="402"/>
      <c r="G7" s="401"/>
      <c r="H7" s="149"/>
      <c r="I7" s="403" t="s">
        <v>323</v>
      </c>
      <c r="J7" s="149">
        <f>-(G8+G14)</f>
        <v>617450</v>
      </c>
      <c r="K7" s="149"/>
      <c r="L7" s="149"/>
      <c r="M7" s="149"/>
      <c r="N7" s="404">
        <f t="shared" si="0"/>
        <v>617450</v>
      </c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</row>
    <row r="8" spans="1:26" ht="14.25" customHeight="1" outlineLevel="1" x14ac:dyDescent="0.35">
      <c r="A8" s="405" t="s">
        <v>324</v>
      </c>
      <c r="B8" s="149">
        <f>-Prosjekter!$E$7*0.6</f>
        <v>-30000</v>
      </c>
      <c r="C8" s="149">
        <f>-Prosjekter!$E$7*0.4</f>
        <v>-20000</v>
      </c>
      <c r="D8" s="406"/>
      <c r="E8" s="406"/>
      <c r="F8" s="406"/>
      <c r="G8" s="408">
        <f>SUM(B8:F8)</f>
        <v>-50000</v>
      </c>
      <c r="H8" s="149" t="s">
        <v>325</v>
      </c>
      <c r="I8" s="403" t="s">
        <v>326</v>
      </c>
      <c r="J8" s="149"/>
      <c r="K8" s="149"/>
      <c r="L8" s="149">
        <f>-G63</f>
        <v>-275984.37903287262</v>
      </c>
      <c r="M8" s="149"/>
      <c r="N8" s="404">
        <f t="shared" si="0"/>
        <v>-275984.37903287262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</row>
    <row r="9" spans="1:26" ht="14.25" customHeight="1" outlineLevel="1" x14ac:dyDescent="0.35">
      <c r="A9" s="401" t="s">
        <v>327</v>
      </c>
      <c r="B9" s="402"/>
      <c r="C9" s="402"/>
      <c r="D9" s="402"/>
      <c r="E9" s="402"/>
      <c r="F9" s="402"/>
      <c r="G9" s="401"/>
      <c r="H9" s="149"/>
      <c r="I9" s="409" t="s">
        <v>151</v>
      </c>
      <c r="J9" s="410">
        <f>SUM(J2:J8)</f>
        <v>2747101.0584328724</v>
      </c>
      <c r="K9" s="410"/>
      <c r="L9" s="410">
        <f>SUM(L2:L8)</f>
        <v>-2489138.2336882055</v>
      </c>
      <c r="M9" s="410"/>
      <c r="N9" s="411">
        <f>SUM(N2:N8)</f>
        <v>257962.82474466693</v>
      </c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</row>
    <row r="10" spans="1:26" ht="14.25" customHeight="1" outlineLevel="1" x14ac:dyDescent="0.35">
      <c r="A10" s="405" t="s">
        <v>328</v>
      </c>
      <c r="B10" s="406">
        <f>-'Progr. konstanter og variabler'!B39*'Progr. konstanter og variabler'!B11</f>
        <v>-51631.720430107518</v>
      </c>
      <c r="C10" s="406">
        <f>-'Progr. konstanter og variabler'!D39*'Progr. konstanter og variabler'!D11</f>
        <v>-35298.494623655912</v>
      </c>
      <c r="D10" s="406">
        <f>-'Progr. konstanter og variabler'!E39*'Progr. konstanter og variabler'!E11</f>
        <v>-4130.5376344086017</v>
      </c>
      <c r="E10" s="149">
        <f>-SUMPRODUCT('Progr. konstanter og variabler'!F39:G39,'Progr. konstanter og variabler'!F11:G11)</f>
        <v>-24783.22580645161</v>
      </c>
      <c r="F10" s="407"/>
      <c r="G10" s="408">
        <f t="shared" ref="G10:G12" si="1">SUM(B10:F10)</f>
        <v>-115843.97849462363</v>
      </c>
      <c r="H10" s="149"/>
      <c r="I10" s="412" t="s">
        <v>329</v>
      </c>
      <c r="J10" s="413"/>
      <c r="K10" s="413"/>
      <c r="L10" s="413">
        <f>-G66</f>
        <v>-88136.8</v>
      </c>
      <c r="M10" s="413"/>
      <c r="N10" s="414">
        <f>J10+L10</f>
        <v>-88136.8</v>
      </c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 ht="14.25" customHeight="1" outlineLevel="1" x14ac:dyDescent="0.35">
      <c r="A11" s="405" t="s">
        <v>330</v>
      </c>
      <c r="B11" s="406">
        <f>-'Progr. konstanter og variabler'!C39*'Progr. konstanter og variabler'!C11</f>
        <v>-24783.22580645161</v>
      </c>
      <c r="C11" s="407"/>
      <c r="D11" s="407"/>
      <c r="E11" s="407"/>
      <c r="F11" s="407"/>
      <c r="G11" s="408">
        <f t="shared" si="1"/>
        <v>-24783.22580645161</v>
      </c>
      <c r="H11" s="149"/>
      <c r="I11" s="409" t="s">
        <v>151</v>
      </c>
      <c r="J11" s="410">
        <f>J9+J10</f>
        <v>2747101.0584328724</v>
      </c>
      <c r="K11" s="410"/>
      <c r="L11" s="410">
        <f>L9+L10</f>
        <v>-2577275.0336882053</v>
      </c>
      <c r="M11" s="410"/>
      <c r="N11" s="411">
        <f>N9+N10</f>
        <v>169826.02474466694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 ht="14.25" customHeight="1" outlineLevel="1" x14ac:dyDescent="0.35">
      <c r="A12" s="405" t="s">
        <v>331</v>
      </c>
      <c r="B12" s="407"/>
      <c r="C12" s="406">
        <f>-'Progr. konstanter og variabler'!D40*'Progr. konstanter og variabler'!D11</f>
        <v>-33800</v>
      </c>
      <c r="D12" s="407"/>
      <c r="E12" s="407"/>
      <c r="F12" s="149">
        <f>-'Progr. konstanter og variabler'!H40*'Progr. konstanter og variabler'!H$11</f>
        <v>-12391.612903225805</v>
      </c>
      <c r="G12" s="408">
        <f t="shared" si="1"/>
        <v>-46191.612903225803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ht="14.25" customHeight="1" outlineLevel="1" x14ac:dyDescent="0.35">
      <c r="A13" s="401" t="s">
        <v>183</v>
      </c>
      <c r="B13" s="402"/>
      <c r="C13" s="402"/>
      <c r="D13" s="402"/>
      <c r="E13" s="402"/>
      <c r="F13" s="402"/>
      <c r="G13" s="401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 ht="14.25" customHeight="1" outlineLevel="1" x14ac:dyDescent="0.35">
      <c r="A14" s="405" t="s">
        <v>20</v>
      </c>
      <c r="B14" s="149">
        <f>$G14*SUM('Progr. konstanter og variabler'!B12:C12)/'Progr. konstanter og variabler'!$I$12</f>
        <v>-277645.17857142858</v>
      </c>
      <c r="C14" s="149">
        <f>$G14*'Progr. konstanter og variabler'!D12/'Progr. konstanter og variabler'!$I$12</f>
        <v>-131729.46428571429</v>
      </c>
      <c r="D14" s="149">
        <f>$G14*'Progr. konstanter og variabler'!E12/'Progr. konstanter og variabler'!$I$12</f>
        <v>-24319.285714285714</v>
      </c>
      <c r="E14" s="149">
        <f>$G14*SUM('Progr. konstanter og variabler'!F12:G12)/'Progr. konstanter og variabler'!$I$12</f>
        <v>-121596.42857142857</v>
      </c>
      <c r="F14" s="149">
        <f>$G14*'Progr. konstanter og variabler'!H12/'Progr. konstanter og variabler'!$I$12</f>
        <v>-12159.642857142857</v>
      </c>
      <c r="G14" s="415">
        <f>-Sentralt!L54</f>
        <v>-567450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 ht="14.25" customHeight="1" outlineLevel="1" x14ac:dyDescent="0.35">
      <c r="A15" s="401" t="s">
        <v>332</v>
      </c>
      <c r="B15" s="402"/>
      <c r="C15" s="402"/>
      <c r="D15" s="402"/>
      <c r="E15" s="402"/>
      <c r="F15" s="402"/>
      <c r="G15" s="401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 ht="14.25" customHeight="1" outlineLevel="1" x14ac:dyDescent="0.35">
      <c r="A16" s="416" t="s">
        <v>333</v>
      </c>
      <c r="B16" s="406">
        <f>-Sentralt!$B$4*SUMPRODUCT('Progr. konstanter og variabler'!B19:C19,'Progr. konstanter og variabler'!B11:C11)</f>
        <v>-647624.6128</v>
      </c>
      <c r="C16" s="406">
        <f>-Sentralt!$B$4*('Progr. konstanter og variabler'!D19*'Progr. konstanter og variabler'!D11)</f>
        <v>-254607.10080000001</v>
      </c>
      <c r="D16" s="406">
        <f>-Sentralt!$B$4*('Progr. konstanter og variabler'!E19*'Progr. konstanter og variabler'!E11)</f>
        <v>-20909</v>
      </c>
      <c r="E16" s="406">
        <f>-Sentralt!$B$4*(SUMPRODUCT('Progr. konstanter og variabler'!F11:G11,'Progr. konstanter og variabler'!F19:G19))</f>
        <v>-131398.98342857143</v>
      </c>
      <c r="F16" s="406">
        <f>-Sentralt!$B$4*('Progr. konstanter og variabler'!H19*'Progr. konstanter og variabler'!H11)</f>
        <v>-26316.664800000002</v>
      </c>
      <c r="G16" s="408">
        <f t="shared" ref="G16:G18" si="2">SUM(B16:F16)</f>
        <v>-1080856.3618285714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ht="14.25" customHeight="1" outlineLevel="1" x14ac:dyDescent="0.35">
      <c r="A17" s="416" t="s">
        <v>334</v>
      </c>
      <c r="B17" s="417">
        <v>0</v>
      </c>
      <c r="C17" s="406">
        <v>0</v>
      </c>
      <c r="D17" s="406">
        <v>0</v>
      </c>
      <c r="E17" s="406">
        <v>0</v>
      </c>
      <c r="F17" s="406">
        <v>0</v>
      </c>
      <c r="G17" s="408">
        <f t="shared" si="2"/>
        <v>0</v>
      </c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 ht="14.25" customHeight="1" outlineLevel="1" x14ac:dyDescent="0.35">
      <c r="A18" s="405" t="s">
        <v>335</v>
      </c>
      <c r="B18" s="149">
        <f>-Sentralt!$B$4*'Progr. konstanter og variabler'!B30*'Progr. konstanter og variabler'!B11</f>
        <v>-5800</v>
      </c>
      <c r="C18" s="149">
        <f>-Sentralt!$B$4*'Progr. konstanter og variabler'!D30*'Progr. konstanter og variabler'!D11</f>
        <v>-3016</v>
      </c>
      <c r="D18" s="149">
        <f>-Sentralt!$B$4*'Progr. konstanter og variabler'!E$30*'Progr. konstanter og variabler'!E$11</f>
        <v>-464</v>
      </c>
      <c r="E18" s="149">
        <f>-Sentralt!$B$4*'Progr. konstanter og variabler'!F30*SUM('Progr. konstanter og variabler'!F11:G11)</f>
        <v>-1670.3999999999999</v>
      </c>
      <c r="F18" s="149">
        <f>-Sentralt!$B$4*'Progr. konstanter og variabler'!H$30*'Progr. konstanter og variabler'!H11</f>
        <v>-208.79999999999998</v>
      </c>
      <c r="G18" s="408">
        <f t="shared" si="2"/>
        <v>-11159.199999999999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6" ht="14.25" customHeight="1" outlineLevel="1" x14ac:dyDescent="0.35">
      <c r="A19" s="401" t="s">
        <v>199</v>
      </c>
      <c r="B19" s="402"/>
      <c r="C19" s="402"/>
      <c r="D19" s="402"/>
      <c r="E19" s="402"/>
      <c r="F19" s="402"/>
      <c r="G19" s="401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 ht="14.25" customHeight="1" outlineLevel="1" x14ac:dyDescent="0.35">
      <c r="A20" s="405" t="s">
        <v>336</v>
      </c>
      <c r="B20" s="149">
        <f>-'Progr. konstanter og variabler'!B14*SUM('Progr. konstanter og variabler'!B32:C32)</f>
        <v>-409483.64820000017</v>
      </c>
      <c r="C20" s="149">
        <f>-'Progr. konstanter og variabler'!D32*'Progr. konstanter og variabler'!D14</f>
        <v>-163083.03120000003</v>
      </c>
      <c r="D20" s="406"/>
      <c r="E20" s="149">
        <f>-'Progr. konstanter og variabler'!F32*'Progr. konstanter og variabler'!F14+'Progr. konstanter og variabler'!G32*'Progr. konstanter og variabler'!G14</f>
        <v>0</v>
      </c>
      <c r="F20" s="149">
        <f>'Progr. konstanter og variabler'!H32*'Progr. konstanter og variabler'!H14</f>
        <v>0</v>
      </c>
      <c r="G20" s="408">
        <f t="shared" ref="G20:G22" si="3">SUM(B20:F20)</f>
        <v>-572566.67940000026</v>
      </c>
      <c r="H20" s="149" t="s">
        <v>337</v>
      </c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6" ht="14.25" customHeight="1" outlineLevel="1" x14ac:dyDescent="0.35">
      <c r="A21" s="401" t="s">
        <v>338</v>
      </c>
      <c r="B21" s="402">
        <f>-'Progr. konstanter og variabler'!$B45*SUM('Progr. konstanter og variabler'!B$11:C$11)</f>
        <v>-5600</v>
      </c>
      <c r="C21" s="402">
        <f>-'Progr. konstanter og variabler'!$B45*'Progr. konstanter og variabler'!D$11</f>
        <v>-2600</v>
      </c>
      <c r="D21" s="402">
        <f>-'Progr. konstanter og variabler'!$B45*'Progr. konstanter og variabler'!E$11</f>
        <v>-500</v>
      </c>
      <c r="E21" s="402">
        <f>-'Progr. konstanter og variabler'!$B45*SUM('Progr. konstanter og variabler'!F11:G11)</f>
        <v>-2400</v>
      </c>
      <c r="F21" s="402">
        <f>-'Progr. konstanter og variabler'!$B45*'Progr. konstanter og variabler'!H$11</f>
        <v>-300</v>
      </c>
      <c r="G21" s="401">
        <f t="shared" si="3"/>
        <v>-11400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26" ht="14.25" customHeight="1" x14ac:dyDescent="0.35">
      <c r="A22" s="418" t="s">
        <v>339</v>
      </c>
      <c r="B22" s="393">
        <f t="shared" ref="B22:F22" si="4">SUM(B4:B21)</f>
        <v>-1605068.3858079878</v>
      </c>
      <c r="C22" s="393">
        <f t="shared" si="4"/>
        <v>-715634.09090937022</v>
      </c>
      <c r="D22" s="393">
        <f t="shared" si="4"/>
        <v>-64072.823348694321</v>
      </c>
      <c r="E22" s="393">
        <f t="shared" si="4"/>
        <v>-317849.03780645161</v>
      </c>
      <c r="F22" s="393">
        <f t="shared" si="4"/>
        <v>-55876.72056036866</v>
      </c>
      <c r="G22" s="418">
        <f t="shared" si="3"/>
        <v>-2758501.0584328729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3" spans="1:26" ht="14.25" customHeight="1" x14ac:dyDescent="0.3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26" ht="14.25" customHeight="1" x14ac:dyDescent="0.35">
      <c r="A24" s="309" t="s">
        <v>196</v>
      </c>
      <c r="B24" s="393" t="s">
        <v>304</v>
      </c>
      <c r="C24" s="393" t="s">
        <v>305</v>
      </c>
      <c r="D24" s="393" t="s">
        <v>306</v>
      </c>
      <c r="E24" s="393" t="s">
        <v>307</v>
      </c>
      <c r="F24" s="393" t="s">
        <v>308</v>
      </c>
      <c r="G24" s="394" t="s">
        <v>151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5" spans="1:26" ht="14.25" customHeight="1" outlineLevel="2" x14ac:dyDescent="0.35">
      <c r="A25" s="419" t="s">
        <v>172</v>
      </c>
      <c r="B25" s="86"/>
      <c r="C25" s="86"/>
      <c r="D25" s="86"/>
      <c r="E25" s="86"/>
      <c r="F25" s="86"/>
      <c r="G25" s="87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</row>
    <row r="26" spans="1:26" ht="14.25" customHeight="1" outlineLevel="2" x14ac:dyDescent="0.35">
      <c r="A26" s="420" t="s">
        <v>12</v>
      </c>
      <c r="B26" s="149">
        <f t="shared" ref="B26:F26" si="5">-B6</f>
        <v>84000</v>
      </c>
      <c r="C26" s="406">
        <f t="shared" si="5"/>
        <v>39000</v>
      </c>
      <c r="D26" s="406">
        <f t="shared" si="5"/>
        <v>7500</v>
      </c>
      <c r="E26" s="406">
        <f t="shared" si="5"/>
        <v>36000</v>
      </c>
      <c r="F26" s="406">
        <f t="shared" si="5"/>
        <v>4500</v>
      </c>
      <c r="G26" s="415">
        <f>SUM(B26:F26)</f>
        <v>171000</v>
      </c>
      <c r="H26" s="149" t="s">
        <v>325</v>
      </c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</row>
    <row r="27" spans="1:26" ht="14.25" customHeight="1" outlineLevel="2" x14ac:dyDescent="0.35">
      <c r="A27" s="419" t="s">
        <v>340</v>
      </c>
      <c r="B27" s="86"/>
      <c r="C27" s="86"/>
      <c r="D27" s="86"/>
      <c r="E27" s="86"/>
      <c r="F27" s="86"/>
      <c r="G27" s="87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</row>
    <row r="28" spans="1:26" ht="14.25" customHeight="1" outlineLevel="2" x14ac:dyDescent="0.35">
      <c r="A28" s="421" t="s">
        <v>313</v>
      </c>
      <c r="B28" s="149">
        <f t="shared" ref="B28:D28" si="6">-B4</f>
        <v>68500</v>
      </c>
      <c r="C28" s="149">
        <f t="shared" si="6"/>
        <v>32500</v>
      </c>
      <c r="D28" s="149">
        <f t="shared" si="6"/>
        <v>6250</v>
      </c>
      <c r="E28" s="407"/>
      <c r="F28" s="407"/>
      <c r="G28" s="422">
        <v>192500</v>
      </c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</row>
    <row r="29" spans="1:26" ht="14.25" customHeight="1" outlineLevel="2" x14ac:dyDescent="0.35">
      <c r="A29" s="419" t="s">
        <v>341</v>
      </c>
      <c r="B29" s="86"/>
      <c r="C29" s="86"/>
      <c r="D29" s="86"/>
      <c r="E29" s="86"/>
      <c r="F29" s="86"/>
      <c r="G29" s="87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</row>
    <row r="30" spans="1:26" ht="14.25" customHeight="1" outlineLevel="2" x14ac:dyDescent="0.35">
      <c r="A30" s="420" t="s">
        <v>342</v>
      </c>
      <c r="B30" s="149">
        <f>'Progr. konstanter og variabler'!B35*'Progr. konstanter og variabler'!B58</f>
        <v>0</v>
      </c>
      <c r="C30" s="149">
        <f>'Progr. konstanter og variabler'!D35*'Progr. konstanter og variabler'!C58</f>
        <v>0</v>
      </c>
      <c r="D30" s="406"/>
      <c r="E30" s="406"/>
      <c r="F30" s="406"/>
      <c r="G30" s="415">
        <f t="shared" ref="G30:G33" si="7">SUM(B30:F30)</f>
        <v>0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</row>
    <row r="31" spans="1:26" ht="14.25" customHeight="1" outlineLevel="2" x14ac:dyDescent="0.35">
      <c r="A31" s="420" t="s">
        <v>343</v>
      </c>
      <c r="B31" s="149">
        <f>'Progr. konstanter og variabler'!B36*'Progr. konstanter og variabler'!B59</f>
        <v>3000</v>
      </c>
      <c r="C31" s="149">
        <f>'Progr. konstanter og variabler'!D36*'Progr. konstanter og variabler'!C59</f>
        <v>3000</v>
      </c>
      <c r="D31" s="406"/>
      <c r="E31" s="406"/>
      <c r="F31" s="406"/>
      <c r="G31" s="415">
        <f t="shared" si="7"/>
        <v>6000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</row>
    <row r="32" spans="1:26" ht="14.25" customHeight="1" outlineLevel="2" x14ac:dyDescent="0.35">
      <c r="A32" s="420" t="s">
        <v>344</v>
      </c>
      <c r="B32" s="149">
        <f>'Progr. konstanter og variabler'!B37*'Progr. konstanter og variabler'!B60</f>
        <v>3000</v>
      </c>
      <c r="C32" s="149">
        <f>'Progr. konstanter og variabler'!D37*'Progr. konstanter og variabler'!C60</f>
        <v>0</v>
      </c>
      <c r="D32" s="406"/>
      <c r="E32" s="406"/>
      <c r="F32" s="406"/>
      <c r="G32" s="415">
        <f t="shared" si="7"/>
        <v>3000</v>
      </c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</row>
    <row r="33" spans="1:26" ht="14.25" customHeight="1" outlineLevel="2" x14ac:dyDescent="0.35">
      <c r="A33" s="421" t="s">
        <v>320</v>
      </c>
      <c r="B33" s="423">
        <f>'Progr. konstanter og variabler'!B33*'Progr. konstanter og variabler'!B14</f>
        <v>360000</v>
      </c>
      <c r="C33" s="423">
        <f>'Progr. konstanter og variabler'!D33*'Progr. konstanter og variabler'!D14</f>
        <v>130000</v>
      </c>
      <c r="D33" s="407"/>
      <c r="E33" s="423">
        <f>SUMPRODUCT('Progr. konstanter og variabler'!F33:G33,'Progr. konstanter og variabler'!F14:G14)</f>
        <v>0</v>
      </c>
      <c r="F33" s="423">
        <f>'Progr. konstanter og variabler'!H33*'Progr. konstanter og variabler'!H14</f>
        <v>0</v>
      </c>
      <c r="G33" s="422">
        <f t="shared" si="7"/>
        <v>490000</v>
      </c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</row>
    <row r="34" spans="1:26" ht="14.25" customHeight="1" outlineLevel="2" x14ac:dyDescent="0.35">
      <c r="A34" s="419" t="s">
        <v>199</v>
      </c>
      <c r="B34" s="86"/>
      <c r="C34" s="86"/>
      <c r="D34" s="86"/>
      <c r="E34" s="86"/>
      <c r="F34" s="86"/>
      <c r="G34" s="87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</row>
    <row r="35" spans="1:26" ht="14.25" customHeight="1" outlineLevel="2" x14ac:dyDescent="0.35">
      <c r="A35" s="420" t="s">
        <v>333</v>
      </c>
      <c r="B35" s="406">
        <f t="shared" ref="B35:F35" si="8">-B16</f>
        <v>647624.6128</v>
      </c>
      <c r="C35" s="406">
        <f t="shared" si="8"/>
        <v>254607.10080000001</v>
      </c>
      <c r="D35" s="406">
        <f t="shared" si="8"/>
        <v>20909</v>
      </c>
      <c r="E35" s="406">
        <f t="shared" si="8"/>
        <v>131398.98342857143</v>
      </c>
      <c r="F35" s="406">
        <f t="shared" si="8"/>
        <v>26316.664800000002</v>
      </c>
      <c r="G35" s="415">
        <f t="shared" ref="G35:G37" si="9">SUM(B35:F35)</f>
        <v>1080856.3618285714</v>
      </c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</row>
    <row r="36" spans="1:26" ht="14.25" customHeight="1" outlineLevel="2" x14ac:dyDescent="0.35">
      <c r="A36" s="420" t="s">
        <v>334</v>
      </c>
      <c r="B36" s="406">
        <f t="shared" ref="B36:F36" si="10">-B17</f>
        <v>0</v>
      </c>
      <c r="C36" s="406">
        <f t="shared" si="10"/>
        <v>0</v>
      </c>
      <c r="D36" s="406">
        <f t="shared" si="10"/>
        <v>0</v>
      </c>
      <c r="E36" s="406">
        <f t="shared" si="10"/>
        <v>0</v>
      </c>
      <c r="F36" s="406">
        <f t="shared" si="10"/>
        <v>0</v>
      </c>
      <c r="G36" s="415">
        <f t="shared" si="9"/>
        <v>0</v>
      </c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</row>
    <row r="37" spans="1:26" ht="14.25" customHeight="1" outlineLevel="2" x14ac:dyDescent="0.35">
      <c r="A37" s="424" t="s">
        <v>335</v>
      </c>
      <c r="B37" s="406">
        <f t="shared" ref="B37:F37" si="11">-B18</f>
        <v>5800</v>
      </c>
      <c r="C37" s="406">
        <f t="shared" si="11"/>
        <v>3016</v>
      </c>
      <c r="D37" s="406">
        <f t="shared" si="11"/>
        <v>464</v>
      </c>
      <c r="E37" s="406">
        <f t="shared" si="11"/>
        <v>1670.3999999999999</v>
      </c>
      <c r="F37" s="406">
        <f t="shared" si="11"/>
        <v>208.79999999999998</v>
      </c>
      <c r="G37" s="415">
        <f t="shared" si="9"/>
        <v>11159.199999999999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</row>
    <row r="38" spans="1:26" ht="14.25" customHeight="1" outlineLevel="2" x14ac:dyDescent="0.35">
      <c r="A38" s="419" t="s">
        <v>345</v>
      </c>
      <c r="B38" s="425"/>
      <c r="C38" s="425"/>
      <c r="D38" s="425"/>
      <c r="E38" s="425"/>
      <c r="F38" s="425"/>
      <c r="G38" s="426"/>
      <c r="H38" s="149"/>
      <c r="I38" s="427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</row>
    <row r="39" spans="1:26" ht="14.25" customHeight="1" outlineLevel="2" x14ac:dyDescent="0.35">
      <c r="A39" s="420" t="s">
        <v>346</v>
      </c>
      <c r="B39" s="428">
        <f>$G39*'Progr. konstanter og variabler'!H84</f>
        <v>3626</v>
      </c>
      <c r="C39" s="428">
        <f>$G39*'Progr. konstanter og variabler'!I84</f>
        <v>1274</v>
      </c>
      <c r="D39" s="428">
        <f>$G39*'Progr. konstanter og variabler'!J84</f>
        <v>196</v>
      </c>
      <c r="E39" s="428">
        <f>$G39*'Progr. konstanter og variabler'!K84</f>
        <v>1176</v>
      </c>
      <c r="F39" s="428">
        <f>$G39*'Progr. konstanter og variabler'!L84</f>
        <v>588</v>
      </c>
      <c r="G39" s="429">
        <f>'Progr. konstanter og variabler'!B75</f>
        <v>6860</v>
      </c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</row>
    <row r="40" spans="1:26" ht="14.25" customHeight="1" outlineLevel="2" x14ac:dyDescent="0.35">
      <c r="A40" s="420" t="s">
        <v>347</v>
      </c>
      <c r="B40" s="428">
        <f>$G40*'Progr. konstanter og variabler'!H85</f>
        <v>0</v>
      </c>
      <c r="C40" s="428">
        <f>$G40*'Progr. konstanter og variabler'!I85</f>
        <v>8000</v>
      </c>
      <c r="D40" s="428">
        <f>$G40*'Progr. konstanter og variabler'!J85</f>
        <v>0</v>
      </c>
      <c r="E40" s="428">
        <f>$G40*'Progr. konstanter og variabler'!K85</f>
        <v>0</v>
      </c>
      <c r="F40" s="428">
        <f>$G40*'Progr. konstanter og variabler'!L85</f>
        <v>0</v>
      </c>
      <c r="G40" s="429">
        <f>'Progr. konstanter og variabler'!B76</f>
        <v>8000</v>
      </c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</row>
    <row r="41" spans="1:26" ht="14.25" customHeight="1" outlineLevel="2" x14ac:dyDescent="0.35">
      <c r="A41" s="420" t="s">
        <v>348</v>
      </c>
      <c r="B41" s="428">
        <f>$G41*'Progr. konstanter og variabler'!H86</f>
        <v>4239.130434782609</v>
      </c>
      <c r="C41" s="428">
        <f>$G41*'Progr. konstanter og variabler'!I86</f>
        <v>2260.869565217391</v>
      </c>
      <c r="D41" s="428">
        <f>$G41*'Progr. konstanter og variabler'!J86</f>
        <v>0</v>
      </c>
      <c r="E41" s="428">
        <f>$G41*'Progr. konstanter og variabler'!K86</f>
        <v>0</v>
      </c>
      <c r="F41" s="428">
        <f>$G41*'Progr. konstanter og variabler'!L86</f>
        <v>0</v>
      </c>
      <c r="G41" s="429">
        <f>'Progr. konstanter og variabler'!B77</f>
        <v>6500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</row>
    <row r="42" spans="1:26" ht="14.25" customHeight="1" outlineLevel="2" x14ac:dyDescent="0.35">
      <c r="A42" s="420" t="s">
        <v>349</v>
      </c>
      <c r="B42" s="142">
        <f>'Progr. konstanter og variabler'!$B68*'Progr. konstanter og variabler'!H87</f>
        <v>4194.1747572815539</v>
      </c>
      <c r="C42" s="142">
        <f>'Progr. konstanter og variabler'!$B68*'Progr. konstanter og variabler'!I87</f>
        <v>2796.1165048543694</v>
      </c>
      <c r="D42" s="430">
        <f>'Progr. konstanter og variabler'!$B68*'Progr. konstanter og variabler'!J87</f>
        <v>0</v>
      </c>
      <c r="E42" s="142">
        <f>'Progr. konstanter og variabler'!$B68*'Progr. konstanter og variabler'!K87</f>
        <v>0</v>
      </c>
      <c r="F42" s="142">
        <f>'Progr. konstanter og variabler'!$B68*'Progr. konstanter og variabler'!L87</f>
        <v>0</v>
      </c>
      <c r="G42" s="431">
        <f t="shared" ref="G42:G43" si="12">SUM(B42:F42)</f>
        <v>6990.2912621359228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</row>
    <row r="43" spans="1:26" ht="14.25" customHeight="1" outlineLevel="2" x14ac:dyDescent="0.35">
      <c r="A43" s="420" t="s">
        <v>350</v>
      </c>
      <c r="B43" s="428">
        <f>'Progr. konstanter og variabler'!$B69*'Progr. konstanter og variabler'!H88</f>
        <v>0</v>
      </c>
      <c r="C43" s="428">
        <f>'Progr. konstanter og variabler'!$B69*'Progr. konstanter og variabler'!I88</f>
        <v>0</v>
      </c>
      <c r="D43" s="432">
        <f>'Progr. konstanter og variabler'!$B69*'Progr. konstanter og variabler'!J88</f>
        <v>0</v>
      </c>
      <c r="E43" s="428">
        <f>'Progr. konstanter og variabler'!$B69*'Progr. konstanter og variabler'!K88</f>
        <v>0</v>
      </c>
      <c r="F43" s="428">
        <f>'Progr. konstanter og variabler'!$B69*'Progr. konstanter og variabler'!L88</f>
        <v>0</v>
      </c>
      <c r="G43" s="429">
        <f t="shared" si="12"/>
        <v>0</v>
      </c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</row>
    <row r="44" spans="1:26" ht="14.25" customHeight="1" outlineLevel="2" x14ac:dyDescent="0.35">
      <c r="A44" s="419" t="s">
        <v>351</v>
      </c>
      <c r="B44" s="86"/>
      <c r="C44" s="86"/>
      <c r="D44" s="86"/>
      <c r="E44" s="86"/>
      <c r="F44" s="86"/>
      <c r="G44" s="87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</row>
    <row r="45" spans="1:26" ht="14.25" customHeight="1" outlineLevel="2" x14ac:dyDescent="0.35">
      <c r="A45" s="420" t="s">
        <v>352</v>
      </c>
      <c r="B45" s="428">
        <f>'Progr. konstanter og variabler'!$D73*('Progr. konstanter og variabler'!$G64*'Progr. konstanter og variabler'!B83+'Progr. konstanter og variabler'!$H64*'Progr. konstanter og variabler'!H83)</f>
        <v>14627.096774193547</v>
      </c>
      <c r="C45" s="428">
        <f>'Progr. konstanter og variabler'!$D73*('Progr. konstanter og variabler'!$G64*'Progr. konstanter og variabler'!C83+'Progr. konstanter og variabler'!$H64*'Progr. konstanter og variabler'!I83)</f>
        <v>5907.0967741935483</v>
      </c>
      <c r="D45" s="428">
        <f>'Progr. konstanter og variabler'!$D73*('Progr. konstanter og variabler'!$G64*'Progr. konstanter og variabler'!D83+'Progr. konstanter og variabler'!$H64*'Progr. konstanter og variabler'!J83)</f>
        <v>562.58064516129036</v>
      </c>
      <c r="E45" s="428">
        <f>'Progr. konstanter og variabler'!$D73*('Progr. konstanter og variabler'!$G64*'Progr. konstanter og variabler'!E83+'Progr. konstanter og variabler'!$H64*'Progr. konstanter og variabler'!K83)</f>
        <v>3375.483870967742</v>
      </c>
      <c r="F45" s="428">
        <f>'Progr. konstanter og variabler'!$D73*('Progr. konstanter og variabler'!$G64*'Progr. konstanter og variabler'!F83+'Progr. konstanter og variabler'!$H64*'Progr. konstanter og variabler'!L83)</f>
        <v>1687.741935483871</v>
      </c>
      <c r="G45" s="429">
        <f>SUM(B45:F45)</f>
        <v>26160</v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</row>
    <row r="46" spans="1:26" ht="14.25" customHeight="1" outlineLevel="2" x14ac:dyDescent="0.35">
      <c r="A46" s="420" t="s">
        <v>353</v>
      </c>
      <c r="B46" s="428">
        <f>$G46*'Progr. konstanter og variabler'!H84</f>
        <v>6848.4832857142856</v>
      </c>
      <c r="C46" s="428">
        <f>$G46*'Progr. konstanter og variabler'!I84</f>
        <v>2406.2238571428575</v>
      </c>
      <c r="D46" s="428">
        <f>$G46*'Progr. konstanter og variabler'!J84</f>
        <v>370.18828571428571</v>
      </c>
      <c r="E46" s="428">
        <f>$G46*'Progr. konstanter og variabler'!K84</f>
        <v>2221.1297142857143</v>
      </c>
      <c r="F46" s="428">
        <f>$G46*'Progr. konstanter og variabler'!L84</f>
        <v>1110.5648571428571</v>
      </c>
      <c r="G46" s="429">
        <f>'Progr. konstanter og variabler'!D75</f>
        <v>12956.59</v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</row>
    <row r="47" spans="1:26" ht="14.25" customHeight="1" outlineLevel="2" x14ac:dyDescent="0.35">
      <c r="A47" s="420" t="s">
        <v>354</v>
      </c>
      <c r="B47" s="428">
        <f>$G47*'Progr. konstanter og variabler'!H85</f>
        <v>0</v>
      </c>
      <c r="C47" s="428">
        <f>$G47*'Progr. konstanter og variabler'!I85</f>
        <v>8500</v>
      </c>
      <c r="D47" s="428">
        <f>$G47*'Progr. konstanter og variabler'!J85</f>
        <v>0</v>
      </c>
      <c r="E47" s="428">
        <f>$G47*'Progr. konstanter og variabler'!K85</f>
        <v>0</v>
      </c>
      <c r="F47" s="428">
        <f>$G47*'Progr. konstanter og variabler'!L85</f>
        <v>0</v>
      </c>
      <c r="G47" s="429">
        <f>'Progr. konstanter og variabler'!D76</f>
        <v>8500</v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</row>
    <row r="48" spans="1:26" ht="14.25" customHeight="1" outlineLevel="2" x14ac:dyDescent="0.35">
      <c r="A48" s="420" t="s">
        <v>355</v>
      </c>
      <c r="B48" s="428">
        <f>$G48*'Progr. konstanter og variabler'!H86</f>
        <v>1930.4347826086957</v>
      </c>
      <c r="C48" s="428">
        <f>$G48*'Progr. konstanter og variabler'!I86</f>
        <v>1029.5652173913043</v>
      </c>
      <c r="D48" s="428">
        <f>$G48*'Progr. konstanter og variabler'!J86</f>
        <v>0</v>
      </c>
      <c r="E48" s="428">
        <f>$G48*'Progr. konstanter og variabler'!K86</f>
        <v>0</v>
      </c>
      <c r="F48" s="428">
        <f>$G48*'Progr. konstanter og variabler'!L86</f>
        <v>0</v>
      </c>
      <c r="G48" s="429">
        <f>'Progr. konstanter og variabler'!D77</f>
        <v>2960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</row>
    <row r="49" spans="1:26" ht="14.25" customHeight="1" outlineLevel="2" x14ac:dyDescent="0.35">
      <c r="A49" s="420" t="s">
        <v>356</v>
      </c>
      <c r="B49" s="142">
        <f>'Progr. konstanter og variabler'!$D68*('Progr. konstanter og variabler'!$G68*'Progr. konstanter og variabler'!B87+'Progr. konstanter og variabler'!$H68*'Progr. konstanter og variabler'!H87)</f>
        <v>2280.9387755102043</v>
      </c>
      <c r="C49" s="142">
        <f>'Progr. konstanter og variabler'!$D68*('Progr. konstanter og variabler'!$G68*'Progr. konstanter og variabler'!C87+'Progr. konstanter og variabler'!$H68*'Progr. konstanter og variabler'!I87)</f>
        <v>1520.6258503401361</v>
      </c>
      <c r="D49" s="430">
        <f>'Progr. konstanter og variabler'!$D68*('Progr. konstanter og variabler'!$G68*'Progr. konstanter og variabler'!D87+'Progr. konstanter og variabler'!$H68*'Progr. konstanter og variabler'!J87)</f>
        <v>0</v>
      </c>
      <c r="E49" s="142">
        <f>'Progr. konstanter og variabler'!$D68*('Progr. konstanter og variabler'!$G68*'Progr. konstanter og variabler'!E87+'Progr. konstanter og variabler'!$H68*'Progr. konstanter og variabler'!K87)</f>
        <v>0</v>
      </c>
      <c r="F49" s="142">
        <f>'Progr. konstanter og variabler'!$D68*('Progr. konstanter og variabler'!$G68*'Progr. konstanter og variabler'!F87+'Progr. konstanter og variabler'!$H68*'Progr. konstanter og variabler'!L87)</f>
        <v>0</v>
      </c>
      <c r="G49" s="431">
        <f t="shared" ref="G49:G50" si="13">SUM(B49:F49)</f>
        <v>3801.5646258503402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</row>
    <row r="50" spans="1:26" ht="14.25" customHeight="1" outlineLevel="2" x14ac:dyDescent="0.35">
      <c r="A50" s="420" t="s">
        <v>357</v>
      </c>
      <c r="B50" s="428">
        <f>'Progr. konstanter og variabler'!$D69*('Progr. konstanter og variabler'!$G69*'Progr. konstanter og variabler'!B88+'Progr. konstanter og variabler'!$H69*'Progr. konstanter og variabler'!H88)</f>
        <v>630</v>
      </c>
      <c r="C50" s="428">
        <f>'Progr. konstanter og variabler'!$D69*('Progr. konstanter og variabler'!$G69*'Progr. konstanter og variabler'!C88+'Progr. konstanter og variabler'!$H69*'Progr. konstanter og variabler'!I88)</f>
        <v>420</v>
      </c>
      <c r="D50" s="432">
        <f>'Progr. konstanter og variabler'!$D69*('Progr. konstanter og variabler'!$G69*'Progr. konstanter og variabler'!D88+'Progr. konstanter og variabler'!$H69*'Progr. konstanter og variabler'!J88)</f>
        <v>0</v>
      </c>
      <c r="E50" s="428">
        <f>'Progr. konstanter og variabler'!$D69*('Progr. konstanter og variabler'!$G69*'Progr. konstanter og variabler'!E88+'Progr. konstanter og variabler'!$H69*'Progr. konstanter og variabler'!K88)</f>
        <v>0</v>
      </c>
      <c r="F50" s="428">
        <f>'Progr. konstanter og variabler'!$D69*('Progr. konstanter og variabler'!$G69*'Progr. konstanter og variabler'!F88+'Progr. konstanter og variabler'!$H69*'Progr. konstanter og variabler'!L88)</f>
        <v>0</v>
      </c>
      <c r="G50" s="429">
        <f t="shared" si="13"/>
        <v>1050</v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</row>
    <row r="51" spans="1:26" ht="14.25" customHeight="1" outlineLevel="2" x14ac:dyDescent="0.35">
      <c r="A51" s="419" t="s">
        <v>358</v>
      </c>
      <c r="B51" s="86"/>
      <c r="C51" s="86"/>
      <c r="D51" s="86"/>
      <c r="E51" s="86"/>
      <c r="F51" s="86"/>
      <c r="G51" s="87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</row>
    <row r="52" spans="1:26" ht="14.25" customHeight="1" outlineLevel="2" x14ac:dyDescent="0.35">
      <c r="A52" s="420" t="s">
        <v>359</v>
      </c>
      <c r="B52" s="428">
        <f>'Progr. konstanter og variabler'!$E64*('Progr. konstanter og variabler'!$G64*'Progr. konstanter og variabler'!B83+'Progr. konstanter og variabler'!$H64*'Progr. konstanter og variabler'!H83)</f>
        <v>24378.494623655915</v>
      </c>
      <c r="C52" s="428">
        <f>'Progr. konstanter og variabler'!$E64*('Progr. konstanter og variabler'!$G64*'Progr. konstanter og variabler'!C83+'Progr. konstanter og variabler'!$H64*'Progr. konstanter og variabler'!I83)</f>
        <v>9845.1612903225814</v>
      </c>
      <c r="D52" s="428">
        <f>'Progr. konstanter og variabler'!$E64*('Progr. konstanter og variabler'!$G64*'Progr. konstanter og variabler'!D83+'Progr. konstanter og variabler'!$H64*'Progr. konstanter og variabler'!J83)</f>
        <v>937.63440860215064</v>
      </c>
      <c r="E52" s="428">
        <f>'Progr. konstanter og variabler'!$E64*('Progr. konstanter og variabler'!$G64*'Progr. konstanter og variabler'!E83+'Progr. konstanter og variabler'!$H64*'Progr. konstanter og variabler'!K83)</f>
        <v>5625.8064516129034</v>
      </c>
      <c r="F52" s="428">
        <f>'Progr. konstanter og variabler'!$E64*('Progr. konstanter og variabler'!$G64*'Progr. konstanter og variabler'!F83+'Progr. konstanter og variabler'!$H64*'Progr. konstanter og variabler'!L83)</f>
        <v>2812.9032258064517</v>
      </c>
      <c r="G52" s="429">
        <f t="shared" ref="G52:G54" si="14">SUM(B52:F52)</f>
        <v>43600</v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</row>
    <row r="53" spans="1:26" ht="14.25" customHeight="1" outlineLevel="2" x14ac:dyDescent="0.35">
      <c r="A53" s="420" t="s">
        <v>360</v>
      </c>
      <c r="B53" s="428">
        <f>'Progr. konstanter og variabler'!$E65*('Progr. konstanter og variabler'!$G65*'Progr. konstanter og variabler'!B84+'Progr. konstanter og variabler'!$H65*'Progr. konstanter og variabler'!H84)</f>
        <v>19240</v>
      </c>
      <c r="C53" s="428">
        <f>'Progr. konstanter og variabler'!$E65*('Progr. konstanter og variabler'!$G65*'Progr. konstanter og variabler'!C84+'Progr. konstanter og variabler'!$H65*'Progr. konstanter og variabler'!I84)</f>
        <v>6760</v>
      </c>
      <c r="D53" s="428">
        <f>'Progr. konstanter og variabler'!$E65*('Progr. konstanter og variabler'!$G65*'Progr. konstanter og variabler'!D84+'Progr. konstanter og variabler'!$H65*'Progr. konstanter og variabler'!J84)</f>
        <v>1040</v>
      </c>
      <c r="E53" s="428">
        <f>'Progr. konstanter og variabler'!$E65*('Progr. konstanter og variabler'!$G65*'Progr. konstanter og variabler'!E84+'Progr. konstanter og variabler'!$H65*'Progr. konstanter og variabler'!K84)</f>
        <v>6240</v>
      </c>
      <c r="F53" s="432">
        <f>'Progr. konstanter og variabler'!$E65*('Progr. konstanter og variabler'!$G65*'Progr. konstanter og variabler'!F84+'Progr. konstanter og variabler'!$H65*'Progr. konstanter og variabler'!L84)</f>
        <v>3120</v>
      </c>
      <c r="G53" s="429">
        <f t="shared" si="14"/>
        <v>36400</v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</row>
    <row r="54" spans="1:26" ht="14.25" customHeight="1" outlineLevel="2" x14ac:dyDescent="0.35">
      <c r="A54" s="420" t="s">
        <v>361</v>
      </c>
      <c r="B54" s="432">
        <f>'Progr. konstanter og variabler'!$E66*('Progr. konstanter og variabler'!$G66*'Progr. konstanter og variabler'!B85+'Progr. konstanter og variabler'!$H66*'Progr. konstanter og variabler'!H85)</f>
        <v>0</v>
      </c>
      <c r="C54" s="428">
        <f>'Progr. konstanter og variabler'!$E66*('Progr. konstanter og variabler'!$G66*'Progr. konstanter og variabler'!C85+'Progr. konstanter og variabler'!$H66*'Progr. konstanter og variabler'!I85)</f>
        <v>41112.5</v>
      </c>
      <c r="D54" s="432">
        <f>'Progr. konstanter og variabler'!$E66*('Progr. konstanter og variabler'!$G66*'Progr. konstanter og variabler'!D85+'Progr. konstanter og variabler'!$H66*'Progr. konstanter og variabler'!J85)</f>
        <v>0</v>
      </c>
      <c r="E54" s="432">
        <f>'Progr. konstanter og variabler'!$E66*('Progr. konstanter og variabler'!$G66*'Progr. konstanter og variabler'!E85+'Progr. konstanter og variabler'!$H66*'Progr. konstanter og variabler'!K85)</f>
        <v>0</v>
      </c>
      <c r="F54" s="432">
        <f>'Progr. konstanter og variabler'!$E66*('Progr. konstanter og variabler'!$G66*'Progr. konstanter og variabler'!F85+'Progr. konstanter og variabler'!$H66*'Progr. konstanter og variabler'!L85)</f>
        <v>0</v>
      </c>
      <c r="G54" s="429">
        <f t="shared" si="14"/>
        <v>41112.5</v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</row>
    <row r="55" spans="1:26" ht="14.25" customHeight="1" outlineLevel="2" x14ac:dyDescent="0.35">
      <c r="A55" s="420" t="s">
        <v>362</v>
      </c>
      <c r="B55" s="428">
        <f>'Progr. konstanter og variabler'!$E67*('Progr. konstanter og variabler'!$G67*'Progr. konstanter og variabler'!B86+'Progr. konstanter og variabler'!$H67*'Progr. konstanter og variabler'!H86)</f>
        <v>10226.08695652174</v>
      </c>
      <c r="C55" s="428">
        <f>'Progr. konstanter og variabler'!$E67*('Progr. konstanter og variabler'!$G67*'Progr. konstanter og variabler'!C86+'Progr. konstanter og variabler'!$H67*'Progr. konstanter og variabler'!I86)</f>
        <v>5453.913043478261</v>
      </c>
      <c r="D55" s="432">
        <f>'Progr. konstanter og variabler'!$E67*('Progr. konstanter og variabler'!$G67*'Progr. konstanter og variabler'!D86+'Progr. konstanter og variabler'!$H67*'Progr. konstanter og variabler'!J86)</f>
        <v>0</v>
      </c>
      <c r="E55" s="428">
        <f>'Progr. konstanter og variabler'!$E67*('Progr. konstanter og variabler'!$G67*'Progr. konstanter og variabler'!E86+'Progr. konstanter og variabler'!$H67*'Progr. konstanter og variabler'!K86)</f>
        <v>0</v>
      </c>
      <c r="F55" s="428">
        <f>'Progr. konstanter og variabler'!$E67*('Progr. konstanter og variabler'!$G67*'Progr. konstanter og variabler'!F86+'Progr. konstanter og variabler'!$H67*'Progr. konstanter og variabler'!L86)</f>
        <v>0</v>
      </c>
      <c r="G55" s="429">
        <f>'Progr. konstanter og variabler'!E77*'Progr. konstanter og variabler'!F77</f>
        <v>7200</v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</row>
    <row r="56" spans="1:26" ht="14.25" customHeight="1" outlineLevel="2" x14ac:dyDescent="0.35">
      <c r="A56" s="420" t="s">
        <v>363</v>
      </c>
      <c r="B56" s="142">
        <f>'Progr. konstanter og variabler'!$E68*('Progr. konstanter og variabler'!$G68*'Progr. konstanter og variabler'!B87+'Progr. konstanter og variabler'!$H68*'Progr. konstanter og variabler'!H87)</f>
        <v>3000</v>
      </c>
      <c r="C56" s="142">
        <f>'Progr. konstanter og variabler'!$E68*('Progr. konstanter og variabler'!$G68*'Progr. konstanter og variabler'!C87+'Progr. konstanter og variabler'!$H68*'Progr. konstanter og variabler'!I87)</f>
        <v>2000</v>
      </c>
      <c r="D56" s="430">
        <f>'Progr. konstanter og variabler'!$E68*('Progr. konstanter og variabler'!$G68*'Progr. konstanter og variabler'!D87+'Progr. konstanter og variabler'!$H68*'Progr. konstanter og variabler'!J87)</f>
        <v>0</v>
      </c>
      <c r="E56" s="142">
        <f>'Progr. konstanter og variabler'!$E68*('Progr. konstanter og variabler'!$G68*'Progr. konstanter og variabler'!E87+'Progr. konstanter og variabler'!$H68*'Progr. konstanter og variabler'!K87)</f>
        <v>0</v>
      </c>
      <c r="F56" s="142">
        <f>'Progr. konstanter og variabler'!$E68*('Progr. konstanter og variabler'!$G68*'Progr. konstanter og variabler'!F87+'Progr. konstanter og variabler'!$H68*'Progr. konstanter og variabler'!L87)</f>
        <v>0</v>
      </c>
      <c r="G56" s="431">
        <f t="shared" ref="G56:G57" si="15">SUM(B56:F56)</f>
        <v>5000</v>
      </c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</row>
    <row r="57" spans="1:26" ht="14.25" customHeight="1" outlineLevel="2" x14ac:dyDescent="0.35">
      <c r="A57" s="420" t="s">
        <v>364</v>
      </c>
      <c r="B57" s="142">
        <f>'Progr. konstanter og variabler'!$E69*('Progr. konstanter og variabler'!$G69*'Progr. konstanter og variabler'!B88+'Progr. konstanter og variabler'!$H69*'Progr. konstanter og variabler'!H88)</f>
        <v>3360</v>
      </c>
      <c r="C57" s="142">
        <f>'Progr. konstanter og variabler'!$E69*('Progr. konstanter og variabler'!$G69*'Progr. konstanter og variabler'!C88+'Progr. konstanter og variabler'!$H69*'Progr. konstanter og variabler'!I88)</f>
        <v>2240</v>
      </c>
      <c r="D57" s="430">
        <f>'Progr. konstanter og variabler'!$E69*('Progr. konstanter og variabler'!$G69*'Progr. konstanter og variabler'!D88+'Progr. konstanter og variabler'!$H69*'Progr. konstanter og variabler'!J88)</f>
        <v>0</v>
      </c>
      <c r="E57" s="142">
        <f>'Progr. konstanter og variabler'!$E69*('Progr. konstanter og variabler'!$G69*'Progr. konstanter og variabler'!E88+'Progr. konstanter og variabler'!$H69*'Progr. konstanter og variabler'!K88)</f>
        <v>0</v>
      </c>
      <c r="F57" s="142">
        <f>'Progr. konstanter og variabler'!$E69*('Progr. konstanter og variabler'!$G69*'Progr. konstanter og variabler'!F88+'Progr. konstanter og variabler'!$H69*'Progr. konstanter og variabler'!L88)</f>
        <v>0</v>
      </c>
      <c r="G57" s="431">
        <f t="shared" si="15"/>
        <v>5600</v>
      </c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</row>
    <row r="58" spans="1:26" ht="14.25" customHeight="1" outlineLevel="2" x14ac:dyDescent="0.35">
      <c r="A58" s="419" t="s">
        <v>365</v>
      </c>
      <c r="B58" s="86"/>
      <c r="C58" s="86"/>
      <c r="D58" s="86"/>
      <c r="E58" s="86"/>
      <c r="F58" s="86"/>
      <c r="G58" s="87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</row>
    <row r="59" spans="1:26" ht="14.25" customHeight="1" outlineLevel="2" x14ac:dyDescent="0.35">
      <c r="A59" s="420" t="s">
        <v>366</v>
      </c>
      <c r="B59" s="428">
        <f>'Progr. konstanter og variabler'!$C73*('Progr. konstanter og variabler'!$G64*'Progr. konstanter og variabler'!B83+'Progr. konstanter og variabler'!$H64*'Progr. konstanter og variabler'!H83)</f>
        <v>15541.290322580646</v>
      </c>
      <c r="C59" s="428">
        <f>'Progr. konstanter og variabler'!$C73*('Progr. konstanter og variabler'!$G64*'Progr. konstanter og variabler'!C83+'Progr. konstanter og variabler'!$H64*'Progr. konstanter og variabler'!I83)</f>
        <v>6276.2903225806449</v>
      </c>
      <c r="D59" s="428">
        <f>'Progr. konstanter og variabler'!$C73*('Progr. konstanter og variabler'!$G64*'Progr. konstanter og variabler'!D83+'Progr. konstanter og variabler'!$H64*'Progr. konstanter og variabler'!J83)</f>
        <v>597.74193548387098</v>
      </c>
      <c r="E59" s="428">
        <f>'Progr. konstanter og variabler'!$C73*('Progr. konstanter og variabler'!$G64*'Progr. konstanter og variabler'!E83+'Progr. konstanter og variabler'!$H64*'Progr. konstanter og variabler'!K83)</f>
        <v>3586.4516129032259</v>
      </c>
      <c r="F59" s="428">
        <f>'Progr. konstanter og variabler'!$C73*('Progr. konstanter og variabler'!$G64*'Progr. konstanter og variabler'!F83+'Progr. konstanter og variabler'!$H64*'Progr. konstanter og variabler'!L83)</f>
        <v>1793.2258064516129</v>
      </c>
      <c r="G59" s="429">
        <f t="shared" ref="G59:G61" si="16">SUM(B59:F59)</f>
        <v>27795.000000000004</v>
      </c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</row>
    <row r="60" spans="1:26" ht="14.25" customHeight="1" outlineLevel="2" x14ac:dyDescent="0.35">
      <c r="A60" s="420" t="s">
        <v>367</v>
      </c>
      <c r="B60" s="142">
        <f>'Progr. konstanter og variabler'!$C68*('Progr. konstanter og variabler'!$G68*'Progr. konstanter og variabler'!B87+'Progr. konstanter og variabler'!$H68*'Progr. konstanter og variabler'!H87)</f>
        <v>3421.408163265306</v>
      </c>
      <c r="C60" s="142">
        <f>'Progr. konstanter og variabler'!$C68*('Progr. konstanter og variabler'!$G68*'Progr. konstanter og variabler'!C87+'Progr. konstanter og variabler'!$H68*'Progr. konstanter og variabler'!I87)</f>
        <v>2280.9387755102039</v>
      </c>
      <c r="D60" s="430">
        <f>'Progr. konstanter og variabler'!$C68*('Progr. konstanter og variabler'!$G68*'Progr. konstanter og variabler'!D87+'Progr. konstanter og variabler'!$H68*'Progr. konstanter og variabler'!J87)</f>
        <v>0</v>
      </c>
      <c r="E60" s="142">
        <f>'Progr. konstanter og variabler'!$C68*('Progr. konstanter og variabler'!$G68*'Progr. konstanter og variabler'!E87+'Progr. konstanter og variabler'!$H68*'Progr. konstanter og variabler'!K87)</f>
        <v>0</v>
      </c>
      <c r="F60" s="142">
        <f>'Progr. konstanter og variabler'!$C68*('Progr. konstanter og variabler'!$G68*'Progr. konstanter og variabler'!F87+'Progr. konstanter og variabler'!$H68*'Progr. konstanter og variabler'!L87)</f>
        <v>0</v>
      </c>
      <c r="G60" s="431">
        <f t="shared" si="16"/>
        <v>5702.3469387755104</v>
      </c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</row>
    <row r="61" spans="1:26" ht="14.25" customHeight="1" outlineLevel="2" x14ac:dyDescent="0.35">
      <c r="A61" s="420" t="s">
        <v>368</v>
      </c>
      <c r="B61" s="142">
        <f>'Progr. konstanter og variabler'!$C69*('Progr. konstanter og variabler'!$G69*'Progr. konstanter og variabler'!B88+'Progr. konstanter og variabler'!$H69*'Progr. konstanter og variabler'!H88)</f>
        <v>1470</v>
      </c>
      <c r="C61" s="142">
        <f>'Progr. konstanter og variabler'!$C69*('Progr. konstanter og variabler'!$G69*'Progr. konstanter og variabler'!C88+'Progr. konstanter og variabler'!$H69*'Progr. konstanter og variabler'!I88)</f>
        <v>979.99999999999989</v>
      </c>
      <c r="D61" s="430">
        <f>'Progr. konstanter og variabler'!$C69*('Progr. konstanter og variabler'!$G69*'Progr. konstanter og variabler'!D88+'Progr. konstanter og variabler'!$H69*'Progr. konstanter og variabler'!J88)</f>
        <v>0</v>
      </c>
      <c r="E61" s="142">
        <f>'Progr. konstanter og variabler'!$C69*('Progr. konstanter og variabler'!$G69*'Progr. konstanter og variabler'!E88+'Progr. konstanter og variabler'!$H69*'Progr. konstanter og variabler'!K88)</f>
        <v>0</v>
      </c>
      <c r="F61" s="142">
        <f>'Progr. konstanter og variabler'!$C69*('Progr. konstanter og variabler'!$G69*'Progr. konstanter og variabler'!F88+'Progr. konstanter og variabler'!$H69*'Progr. konstanter og variabler'!L88)</f>
        <v>0</v>
      </c>
      <c r="G61" s="431">
        <f t="shared" si="16"/>
        <v>2450</v>
      </c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</row>
    <row r="62" spans="1:26" ht="14.25" customHeight="1" outlineLevel="2" x14ac:dyDescent="0.35">
      <c r="A62" s="419" t="s">
        <v>369</v>
      </c>
      <c r="B62" s="86"/>
      <c r="C62" s="86"/>
      <c r="D62" s="86"/>
      <c r="E62" s="86"/>
      <c r="F62" s="86"/>
      <c r="G62" s="87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</row>
    <row r="63" spans="1:26" ht="14.25" customHeight="1" outlineLevel="2" x14ac:dyDescent="0.35">
      <c r="A63" s="420" t="s">
        <v>370</v>
      </c>
      <c r="B63" s="149">
        <f>Prisberegning!A10</f>
        <v>182939.55903655919</v>
      </c>
      <c r="C63" s="149">
        <f>Prisberegning!A16</f>
        <v>55421.595423655963</v>
      </c>
      <c r="D63" s="149">
        <f>Prisberegning!A18</f>
        <v>-246.46236559140107</v>
      </c>
      <c r="E63" s="149">
        <f>Prisberegning!A22</f>
        <v>36452.609235023032</v>
      </c>
      <c r="F63" s="149">
        <f>Prisberegning!A24</f>
        <v>1417.0777032258084</v>
      </c>
      <c r="G63" s="408">
        <f t="shared" ref="G63:G67" si="17">SUM(B63:F63)</f>
        <v>275984.37903287262</v>
      </c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4.25" customHeight="1" outlineLevel="2" x14ac:dyDescent="0.35">
      <c r="A64" s="401" t="s">
        <v>371</v>
      </c>
      <c r="B64" s="402">
        <f t="shared" ref="B64:F64" si="18">-B21</f>
        <v>5600</v>
      </c>
      <c r="C64" s="402">
        <f t="shared" si="18"/>
        <v>2600</v>
      </c>
      <c r="D64" s="402">
        <f t="shared" si="18"/>
        <v>500</v>
      </c>
      <c r="E64" s="402">
        <f t="shared" si="18"/>
        <v>2400</v>
      </c>
      <c r="F64" s="402">
        <f t="shared" si="18"/>
        <v>300</v>
      </c>
      <c r="G64" s="401">
        <f t="shared" si="17"/>
        <v>11400</v>
      </c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</row>
    <row r="65" spans="1:26" ht="14.25" customHeight="1" x14ac:dyDescent="0.35">
      <c r="A65" s="418" t="s">
        <v>372</v>
      </c>
      <c r="B65" s="433">
        <f t="shared" ref="B65:F65" si="19">SUM(B25:B64)</f>
        <v>1479477.7107126736</v>
      </c>
      <c r="C65" s="433">
        <f t="shared" si="19"/>
        <v>631207.99742468726</v>
      </c>
      <c r="D65" s="433">
        <f t="shared" si="19"/>
        <v>39080.682909370189</v>
      </c>
      <c r="E65" s="433">
        <f t="shared" si="19"/>
        <v>230146.86431336403</v>
      </c>
      <c r="F65" s="433">
        <f t="shared" si="19"/>
        <v>43854.978328110607</v>
      </c>
      <c r="G65" s="418">
        <f t="shared" si="17"/>
        <v>2423768.2336882059</v>
      </c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</row>
    <row r="66" spans="1:26" ht="14.25" customHeight="1" outlineLevel="2" x14ac:dyDescent="0.35">
      <c r="A66" s="434" t="s">
        <v>329</v>
      </c>
      <c r="B66" s="413">
        <f>Sentralt!$B$5*SUMPRODUCT('Progr. konstanter og variabler'!B11:C11,'Progr. konstanter og variabler'!B25:C25)</f>
        <v>54566.400000000001</v>
      </c>
      <c r="C66" s="413">
        <f>Sentralt!$B$5*'Progr. konstanter og variabler'!D11*'Progr. konstanter og variabler'!D25</f>
        <v>20810.399999999998</v>
      </c>
      <c r="D66" s="413">
        <f>Sentralt!$B$5*'Progr. konstanter og variabler'!E11*'Progr. konstanter og variabler'!E25</f>
        <v>1450</v>
      </c>
      <c r="E66" s="413">
        <f>Sentralt!$B$5*SUMPRODUCT('Progr. konstanter og variabler'!F11:G11,'Progr. konstanter og variabler'!F25:G25)</f>
        <v>9117.6</v>
      </c>
      <c r="F66" s="413">
        <f>Sentralt!$B$5*'Progr. konstanter og variabler'!H11*'Progr. konstanter og variabler'!H25</f>
        <v>2192.3999999999996</v>
      </c>
      <c r="G66" s="435">
        <f t="shared" si="17"/>
        <v>88136.8</v>
      </c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</row>
    <row r="67" spans="1:26" ht="14.25" customHeight="1" x14ac:dyDescent="0.35">
      <c r="A67" s="418" t="s">
        <v>373</v>
      </c>
      <c r="B67" s="433">
        <f t="shared" ref="B67:F67" si="20">B65+B66</f>
        <v>1534044.1107126735</v>
      </c>
      <c r="C67" s="433">
        <f t="shared" si="20"/>
        <v>652018.39742468728</v>
      </c>
      <c r="D67" s="433">
        <f t="shared" si="20"/>
        <v>40530.682909370189</v>
      </c>
      <c r="E67" s="433">
        <f t="shared" si="20"/>
        <v>239264.46431336403</v>
      </c>
      <c r="F67" s="433">
        <f t="shared" si="20"/>
        <v>46047.378328110608</v>
      </c>
      <c r="G67" s="418">
        <f t="shared" si="17"/>
        <v>2511905.0336882058</v>
      </c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</row>
    <row r="68" spans="1:26" ht="14.25" customHeight="1" x14ac:dyDescent="0.35">
      <c r="A68" s="436"/>
      <c r="B68" s="437"/>
      <c r="C68" s="437"/>
      <c r="D68" s="437"/>
      <c r="E68" s="437"/>
      <c r="F68" s="437"/>
      <c r="G68" s="438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</row>
    <row r="69" spans="1:26" ht="14.25" customHeight="1" x14ac:dyDescent="0.35">
      <c r="A69" s="139" t="s">
        <v>374</v>
      </c>
      <c r="B69" s="439">
        <f t="shared" ref="B69:F69" si="21">-(B22+B65)</f>
        <v>125590.67509531416</v>
      </c>
      <c r="C69" s="439">
        <f t="shared" si="21"/>
        <v>84426.093484682962</v>
      </c>
      <c r="D69" s="439">
        <f t="shared" si="21"/>
        <v>24992.140439324132</v>
      </c>
      <c r="E69" s="439">
        <f t="shared" si="21"/>
        <v>87702.173493087583</v>
      </c>
      <c r="F69" s="439">
        <f t="shared" si="21"/>
        <v>12021.742232258053</v>
      </c>
      <c r="G69" s="146">
        <f t="shared" ref="G69:G70" si="22">SUM(B69:F69)</f>
        <v>334732.82474466693</v>
      </c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</row>
    <row r="70" spans="1:26" ht="14.25" customHeight="1" x14ac:dyDescent="0.35">
      <c r="A70" s="139" t="s">
        <v>375</v>
      </c>
      <c r="B70" s="439">
        <f t="shared" ref="B70:F70" si="23">B69-B66</f>
        <v>71024.275095314166</v>
      </c>
      <c r="C70" s="439">
        <f t="shared" si="23"/>
        <v>63615.693484682968</v>
      </c>
      <c r="D70" s="439">
        <f t="shared" si="23"/>
        <v>23542.140439324132</v>
      </c>
      <c r="E70" s="439">
        <f t="shared" si="23"/>
        <v>78584.573493087577</v>
      </c>
      <c r="F70" s="439">
        <f t="shared" si="23"/>
        <v>9829.3422322580536</v>
      </c>
      <c r="G70" s="146">
        <f t="shared" si="22"/>
        <v>246596.02474466691</v>
      </c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</row>
    <row r="71" spans="1:26" ht="14.25" customHeight="1" x14ac:dyDescent="0.3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</row>
    <row r="72" spans="1:26" ht="14.25" customHeight="1" x14ac:dyDescent="0.3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</row>
    <row r="73" spans="1:26" ht="14.25" customHeight="1" x14ac:dyDescent="0.3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</row>
    <row r="74" spans="1:26" ht="14.25" customHeight="1" x14ac:dyDescent="0.3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</row>
    <row r="75" spans="1:26" ht="14.25" customHeight="1" x14ac:dyDescent="0.3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</row>
    <row r="76" spans="1:26" ht="14.25" customHeight="1" x14ac:dyDescent="0.3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</row>
    <row r="77" spans="1:26" ht="14.25" customHeight="1" x14ac:dyDescent="0.3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</row>
    <row r="78" spans="1:26" ht="14.25" customHeight="1" x14ac:dyDescent="0.35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</row>
    <row r="79" spans="1:26" ht="14.25" customHeight="1" x14ac:dyDescent="0.3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</row>
    <row r="80" spans="1:26" ht="14.25" customHeight="1" x14ac:dyDescent="0.35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</row>
    <row r="81" spans="1:26" ht="14.25" customHeight="1" x14ac:dyDescent="0.3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</row>
    <row r="82" spans="1:26" ht="14.25" customHeight="1" x14ac:dyDescent="0.35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</row>
    <row r="83" spans="1:26" ht="14.25" customHeight="1" x14ac:dyDescent="0.3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</row>
    <row r="84" spans="1:26" ht="14.25" customHeight="1" x14ac:dyDescent="0.35">
      <c r="A84" s="441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</row>
    <row r="85" spans="1:26" ht="14.25" customHeight="1" x14ac:dyDescent="0.35">
      <c r="A85" s="441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</row>
    <row r="86" spans="1:26" ht="14.25" customHeight="1" x14ac:dyDescent="0.3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</row>
    <row r="87" spans="1:26" ht="14.25" customHeight="1" x14ac:dyDescent="0.3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</row>
    <row r="88" spans="1:26" ht="14.25" customHeight="1" x14ac:dyDescent="0.3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</row>
    <row r="89" spans="1:26" ht="14.25" customHeight="1" x14ac:dyDescent="0.3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</row>
    <row r="90" spans="1:26" ht="14.25" customHeight="1" x14ac:dyDescent="0.3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</row>
    <row r="91" spans="1:26" ht="14.25" customHeight="1" x14ac:dyDescent="0.3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</row>
    <row r="92" spans="1:26" ht="14.25" customHeight="1" x14ac:dyDescent="0.3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</row>
    <row r="93" spans="1:26" ht="14.25" customHeight="1" x14ac:dyDescent="0.3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</row>
    <row r="94" spans="1:26" ht="14.25" customHeight="1" x14ac:dyDescent="0.3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</row>
    <row r="95" spans="1:26" ht="14.25" customHeight="1" x14ac:dyDescent="0.3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</row>
    <row r="96" spans="1:26" ht="14.25" customHeight="1" x14ac:dyDescent="0.3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</row>
    <row r="97" spans="1:26" ht="14.25" customHeight="1" x14ac:dyDescent="0.3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</row>
    <row r="98" spans="1:26" ht="14.25" customHeight="1" x14ac:dyDescent="0.3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</row>
    <row r="99" spans="1:26" ht="14.25" customHeight="1" x14ac:dyDescent="0.3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</row>
    <row r="100" spans="1:26" ht="14.25" customHeight="1" x14ac:dyDescent="0.3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</row>
    <row r="101" spans="1:26" ht="14.25" customHeight="1" x14ac:dyDescent="0.3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</row>
    <row r="102" spans="1:26" ht="14.25" customHeight="1" x14ac:dyDescent="0.3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</row>
    <row r="103" spans="1:26" ht="14.25" customHeight="1" x14ac:dyDescent="0.3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</row>
    <row r="104" spans="1:26" ht="14.25" customHeight="1" x14ac:dyDescent="0.3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</row>
    <row r="105" spans="1:26" ht="14.25" customHeight="1" x14ac:dyDescent="0.3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</row>
    <row r="106" spans="1:26" ht="14.25" customHeight="1" x14ac:dyDescent="0.3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</row>
    <row r="107" spans="1:26" ht="14.25" customHeight="1" x14ac:dyDescent="0.3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</row>
    <row r="108" spans="1:26" ht="14.25" customHeight="1" x14ac:dyDescent="0.3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</row>
    <row r="109" spans="1:26" ht="14.25" customHeight="1" x14ac:dyDescent="0.3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</row>
    <row r="110" spans="1:26" ht="14.25" customHeight="1" x14ac:dyDescent="0.3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</row>
    <row r="111" spans="1:26" ht="14.25" customHeight="1" x14ac:dyDescent="0.3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</row>
    <row r="112" spans="1:26" ht="14.25" customHeight="1" x14ac:dyDescent="0.3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</row>
    <row r="113" spans="1:26" ht="14.25" customHeight="1" x14ac:dyDescent="0.3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</row>
    <row r="114" spans="1:26" ht="14.25" customHeight="1" x14ac:dyDescent="0.3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</row>
    <row r="115" spans="1:26" ht="14.25" customHeight="1" x14ac:dyDescent="0.3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</row>
    <row r="116" spans="1:26" ht="14.25" customHeight="1" x14ac:dyDescent="0.3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</row>
    <row r="117" spans="1:26" ht="14.25" customHeight="1" x14ac:dyDescent="0.3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</row>
    <row r="118" spans="1:26" ht="14.25" customHeight="1" x14ac:dyDescent="0.3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</row>
    <row r="119" spans="1:26" ht="14.25" customHeight="1" x14ac:dyDescent="0.3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</row>
    <row r="120" spans="1:26" ht="14.25" customHeight="1" x14ac:dyDescent="0.3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</row>
    <row r="121" spans="1:26" ht="14.25" customHeight="1" x14ac:dyDescent="0.3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</row>
    <row r="122" spans="1:26" ht="14.25" customHeight="1" x14ac:dyDescent="0.3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</row>
    <row r="123" spans="1:26" ht="14.25" customHeight="1" x14ac:dyDescent="0.3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</row>
    <row r="124" spans="1:26" ht="14.25" customHeight="1" x14ac:dyDescent="0.3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</row>
    <row r="125" spans="1:26" ht="14.25" customHeight="1" x14ac:dyDescent="0.35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</row>
    <row r="126" spans="1:26" ht="14.25" customHeight="1" x14ac:dyDescent="0.35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</row>
    <row r="127" spans="1:26" ht="14.25" customHeight="1" x14ac:dyDescent="0.35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</row>
    <row r="128" spans="1:26" ht="14.25" customHeight="1" x14ac:dyDescent="0.35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</row>
    <row r="129" spans="1:26" ht="14.25" customHeight="1" x14ac:dyDescent="0.35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</row>
    <row r="130" spans="1:26" ht="14.25" customHeight="1" x14ac:dyDescent="0.35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</row>
    <row r="131" spans="1:26" ht="14.25" customHeight="1" x14ac:dyDescent="0.35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</row>
    <row r="132" spans="1:26" ht="14.25" customHeight="1" x14ac:dyDescent="0.35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</row>
    <row r="133" spans="1:26" ht="14.25" customHeight="1" x14ac:dyDescent="0.35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</row>
    <row r="134" spans="1:26" ht="14.25" customHeight="1" x14ac:dyDescent="0.35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</row>
    <row r="135" spans="1:26" ht="14.25" customHeight="1" x14ac:dyDescent="0.35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</row>
    <row r="136" spans="1:26" ht="14.25" customHeight="1" x14ac:dyDescent="0.35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</row>
    <row r="137" spans="1:26" ht="14.25" customHeight="1" x14ac:dyDescent="0.35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</row>
    <row r="138" spans="1:26" ht="14.25" customHeight="1" x14ac:dyDescent="0.35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</row>
    <row r="139" spans="1:26" ht="14.25" customHeight="1" x14ac:dyDescent="0.35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</row>
    <row r="140" spans="1:26" ht="14.25" customHeight="1" x14ac:dyDescent="0.35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</row>
    <row r="141" spans="1:26" ht="14.25" customHeight="1" x14ac:dyDescent="0.35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</row>
    <row r="142" spans="1:26" ht="14.25" customHeight="1" x14ac:dyDescent="0.35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</row>
    <row r="143" spans="1:26" ht="14.25" customHeight="1" x14ac:dyDescent="0.35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</row>
    <row r="144" spans="1:26" ht="14.25" customHeight="1" x14ac:dyDescent="0.35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</row>
    <row r="145" spans="1:26" ht="14.25" customHeight="1" x14ac:dyDescent="0.35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</row>
    <row r="146" spans="1:26" ht="14.25" customHeight="1" x14ac:dyDescent="0.3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</row>
    <row r="147" spans="1:26" ht="14.25" customHeight="1" x14ac:dyDescent="0.3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</row>
    <row r="148" spans="1:26" ht="14.25" customHeight="1" x14ac:dyDescent="0.35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</row>
    <row r="149" spans="1:26" ht="14.25" customHeight="1" x14ac:dyDescent="0.35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</row>
    <row r="150" spans="1:26" ht="14.25" customHeight="1" x14ac:dyDescent="0.35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</row>
    <row r="151" spans="1:26" ht="14.25" customHeight="1" x14ac:dyDescent="0.35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</row>
    <row r="152" spans="1:26" ht="14.25" customHeight="1" x14ac:dyDescent="0.35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</row>
    <row r="153" spans="1:26" ht="14.25" customHeight="1" x14ac:dyDescent="0.35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</row>
    <row r="154" spans="1:26" ht="14.25" customHeight="1" x14ac:dyDescent="0.35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</row>
    <row r="155" spans="1:26" ht="14.25" customHeight="1" x14ac:dyDescent="0.35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</row>
    <row r="156" spans="1:26" ht="14.25" customHeight="1" x14ac:dyDescent="0.35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</row>
    <row r="157" spans="1:26" ht="14.25" customHeight="1" x14ac:dyDescent="0.3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</row>
    <row r="158" spans="1:26" ht="14.25" customHeight="1" x14ac:dyDescent="0.3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</row>
    <row r="159" spans="1:26" ht="14.25" customHeight="1" x14ac:dyDescent="0.3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</row>
    <row r="160" spans="1:26" ht="14.25" customHeight="1" x14ac:dyDescent="0.35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</row>
    <row r="161" spans="1:26" ht="14.25" customHeight="1" x14ac:dyDescent="0.3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</row>
    <row r="162" spans="1:26" ht="14.25" customHeight="1" x14ac:dyDescent="0.3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</row>
    <row r="163" spans="1:26" ht="14.25" customHeight="1" x14ac:dyDescent="0.3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</row>
    <row r="164" spans="1:26" ht="14.25" customHeight="1" x14ac:dyDescent="0.35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</row>
    <row r="165" spans="1:26" ht="14.25" customHeight="1" x14ac:dyDescent="0.3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</row>
    <row r="166" spans="1:26" ht="14.25" customHeight="1" x14ac:dyDescent="0.3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</row>
    <row r="167" spans="1:26" ht="14.25" customHeight="1" x14ac:dyDescent="0.35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</row>
    <row r="168" spans="1:26" ht="14.25" customHeight="1" x14ac:dyDescent="0.3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</row>
    <row r="169" spans="1:26" ht="14.25" customHeight="1" x14ac:dyDescent="0.3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</row>
    <row r="170" spans="1:26" ht="14.25" customHeight="1" x14ac:dyDescent="0.3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</row>
    <row r="171" spans="1:26" ht="14.25" customHeight="1" x14ac:dyDescent="0.3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</row>
    <row r="172" spans="1:26" ht="14.25" customHeight="1" x14ac:dyDescent="0.35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</row>
    <row r="173" spans="1:26" ht="14.25" customHeight="1" x14ac:dyDescent="0.35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</row>
    <row r="174" spans="1:26" ht="14.25" customHeight="1" x14ac:dyDescent="0.3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</row>
    <row r="175" spans="1:26" ht="14.25" customHeight="1" x14ac:dyDescent="0.3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</row>
    <row r="176" spans="1:26" ht="14.25" customHeight="1" x14ac:dyDescent="0.35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</row>
    <row r="177" spans="1:26" ht="14.25" customHeight="1" x14ac:dyDescent="0.35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</row>
    <row r="178" spans="1:26" ht="14.25" customHeight="1" x14ac:dyDescent="0.3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</row>
    <row r="179" spans="1:26" ht="14.25" customHeight="1" x14ac:dyDescent="0.35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</row>
    <row r="180" spans="1:26" ht="14.25" customHeight="1" x14ac:dyDescent="0.3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</row>
    <row r="181" spans="1:26" ht="14.25" customHeight="1" x14ac:dyDescent="0.3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</row>
    <row r="182" spans="1:26" ht="14.25" customHeight="1" x14ac:dyDescent="0.35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</row>
    <row r="183" spans="1:26" ht="14.25" customHeight="1" x14ac:dyDescent="0.35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</row>
    <row r="184" spans="1:26" ht="14.25" customHeight="1" x14ac:dyDescent="0.35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</row>
    <row r="185" spans="1:26" ht="14.25" customHeight="1" x14ac:dyDescent="0.35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</row>
    <row r="186" spans="1:26" ht="14.25" customHeight="1" x14ac:dyDescent="0.35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</row>
    <row r="187" spans="1:26" ht="14.25" customHeight="1" x14ac:dyDescent="0.35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</row>
    <row r="188" spans="1:26" ht="14.25" customHeight="1" x14ac:dyDescent="0.35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</row>
    <row r="189" spans="1:26" ht="14.25" customHeight="1" x14ac:dyDescent="0.35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</row>
    <row r="190" spans="1:26" ht="14.25" customHeight="1" x14ac:dyDescent="0.35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</row>
    <row r="191" spans="1:26" ht="14.25" customHeight="1" x14ac:dyDescent="0.35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</row>
    <row r="192" spans="1:26" ht="14.25" customHeight="1" x14ac:dyDescent="0.35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</row>
    <row r="193" spans="1:26" ht="14.25" customHeight="1" x14ac:dyDescent="0.35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</row>
    <row r="194" spans="1:26" ht="14.25" customHeight="1" x14ac:dyDescent="0.35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</row>
    <row r="195" spans="1:26" ht="14.25" customHeight="1" x14ac:dyDescent="0.35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</row>
    <row r="196" spans="1:26" ht="14.25" customHeight="1" x14ac:dyDescent="0.35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</row>
    <row r="197" spans="1:26" ht="14.25" customHeight="1" x14ac:dyDescent="0.35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</row>
    <row r="198" spans="1:26" ht="14.25" customHeight="1" x14ac:dyDescent="0.35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</row>
    <row r="199" spans="1:26" ht="14.25" customHeight="1" x14ac:dyDescent="0.35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</row>
    <row r="200" spans="1:26" ht="14.25" customHeight="1" x14ac:dyDescent="0.35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</row>
    <row r="201" spans="1:26" ht="14.25" customHeight="1" x14ac:dyDescent="0.35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</row>
    <row r="202" spans="1:26" ht="14.25" customHeight="1" x14ac:dyDescent="0.35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</row>
    <row r="203" spans="1:26" ht="14.25" customHeight="1" x14ac:dyDescent="0.35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</row>
    <row r="204" spans="1:26" ht="14.25" customHeight="1" x14ac:dyDescent="0.35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</row>
    <row r="205" spans="1:26" ht="14.25" customHeight="1" x14ac:dyDescent="0.35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</row>
    <row r="206" spans="1:26" ht="14.25" customHeight="1" x14ac:dyDescent="0.35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</row>
    <row r="207" spans="1:26" ht="14.25" customHeight="1" x14ac:dyDescent="0.3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</row>
    <row r="208" spans="1:26" ht="14.25" customHeight="1" x14ac:dyDescent="0.35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</row>
    <row r="209" spans="1:26" ht="14.25" customHeight="1" x14ac:dyDescent="0.35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</row>
    <row r="210" spans="1:26" ht="14.25" customHeight="1" x14ac:dyDescent="0.3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</row>
    <row r="211" spans="1:26" ht="14.25" customHeight="1" x14ac:dyDescent="0.35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</row>
    <row r="212" spans="1:26" ht="14.25" customHeight="1" x14ac:dyDescent="0.35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</row>
    <row r="213" spans="1:26" ht="14.25" customHeight="1" x14ac:dyDescent="0.35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</row>
    <row r="214" spans="1:26" ht="14.25" customHeight="1" x14ac:dyDescent="0.35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</row>
    <row r="215" spans="1:26" ht="14.25" customHeight="1" x14ac:dyDescent="0.35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</row>
    <row r="216" spans="1:26" ht="14.25" customHeight="1" x14ac:dyDescent="0.35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</row>
    <row r="217" spans="1:26" ht="14.25" customHeight="1" x14ac:dyDescent="0.35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</row>
    <row r="218" spans="1:26" ht="14.25" customHeight="1" x14ac:dyDescent="0.35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</row>
    <row r="219" spans="1:26" ht="14.25" customHeight="1" x14ac:dyDescent="0.35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</row>
    <row r="220" spans="1:26" ht="14.25" customHeight="1" x14ac:dyDescent="0.35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</row>
    <row r="221" spans="1:26" ht="14.25" customHeight="1" x14ac:dyDescent="0.35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</row>
    <row r="222" spans="1:26" ht="14.25" customHeight="1" x14ac:dyDescent="0.35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</row>
    <row r="223" spans="1:26" ht="14.25" customHeight="1" x14ac:dyDescent="0.35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</row>
    <row r="224" spans="1:26" ht="14.25" customHeight="1" x14ac:dyDescent="0.35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</row>
    <row r="225" spans="1:26" ht="14.25" customHeight="1" x14ac:dyDescent="0.35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</row>
    <row r="226" spans="1:26" ht="14.25" customHeight="1" x14ac:dyDescent="0.35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</row>
    <row r="227" spans="1:26" ht="14.25" customHeight="1" x14ac:dyDescent="0.3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</row>
    <row r="228" spans="1:26" ht="14.25" customHeight="1" x14ac:dyDescent="0.35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</row>
    <row r="229" spans="1:26" ht="14.25" customHeight="1" x14ac:dyDescent="0.35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</row>
    <row r="230" spans="1:26" ht="14.25" customHeight="1" x14ac:dyDescent="0.35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</row>
    <row r="231" spans="1:26" ht="14.25" customHeight="1" x14ac:dyDescent="0.35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</row>
    <row r="232" spans="1:26" ht="14.25" customHeight="1" x14ac:dyDescent="0.35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</row>
    <row r="233" spans="1:26" ht="14.25" customHeight="1" x14ac:dyDescent="0.35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</row>
    <row r="234" spans="1:26" ht="14.25" customHeight="1" x14ac:dyDescent="0.35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</row>
    <row r="235" spans="1:26" ht="14.25" customHeight="1" x14ac:dyDescent="0.35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</row>
    <row r="236" spans="1:26" ht="14.25" customHeight="1" x14ac:dyDescent="0.35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</row>
    <row r="237" spans="1:26" ht="14.25" customHeight="1" x14ac:dyDescent="0.35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</row>
    <row r="238" spans="1:26" ht="14.25" customHeight="1" x14ac:dyDescent="0.35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</row>
    <row r="239" spans="1:26" ht="14.25" customHeight="1" x14ac:dyDescent="0.35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</row>
    <row r="240" spans="1:26" ht="14.25" customHeight="1" x14ac:dyDescent="0.35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</row>
    <row r="241" spans="1:26" ht="14.25" customHeight="1" x14ac:dyDescent="0.35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</row>
    <row r="242" spans="1:26" ht="14.25" customHeight="1" x14ac:dyDescent="0.35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</row>
    <row r="243" spans="1:26" ht="14.25" customHeight="1" x14ac:dyDescent="0.35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</row>
    <row r="244" spans="1:26" ht="14.25" customHeight="1" x14ac:dyDescent="0.35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</row>
    <row r="245" spans="1:26" ht="14.25" customHeight="1" x14ac:dyDescent="0.35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</row>
    <row r="246" spans="1:26" ht="14.25" customHeight="1" x14ac:dyDescent="0.35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</row>
    <row r="247" spans="1:26" ht="14.25" customHeight="1" x14ac:dyDescent="0.35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</row>
    <row r="248" spans="1:26" ht="14.25" customHeight="1" x14ac:dyDescent="0.35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</row>
    <row r="249" spans="1:26" ht="14.25" customHeight="1" x14ac:dyDescent="0.35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</row>
    <row r="250" spans="1:26" ht="14.25" customHeight="1" x14ac:dyDescent="0.35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</row>
    <row r="251" spans="1:26" ht="14.25" customHeight="1" x14ac:dyDescent="0.35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</row>
    <row r="252" spans="1:26" ht="14.25" customHeight="1" x14ac:dyDescent="0.35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</row>
    <row r="253" spans="1:26" ht="14.25" customHeight="1" x14ac:dyDescent="0.35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</row>
    <row r="254" spans="1:26" ht="14.25" customHeight="1" x14ac:dyDescent="0.35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</row>
    <row r="255" spans="1:26" ht="14.25" customHeight="1" x14ac:dyDescent="0.35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</row>
    <row r="256" spans="1:26" ht="14.25" customHeight="1" x14ac:dyDescent="0.35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</row>
    <row r="257" spans="1:26" ht="14.25" customHeight="1" x14ac:dyDescent="0.35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</row>
    <row r="258" spans="1:26" ht="14.25" customHeight="1" x14ac:dyDescent="0.35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</row>
    <row r="259" spans="1:26" ht="14.25" customHeight="1" x14ac:dyDescent="0.35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</row>
    <row r="260" spans="1:26" ht="14.25" customHeight="1" x14ac:dyDescent="0.35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</row>
    <row r="261" spans="1:26" ht="14.25" customHeight="1" x14ac:dyDescent="0.35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</row>
    <row r="262" spans="1:26" ht="14.25" customHeight="1" x14ac:dyDescent="0.35">
      <c r="A262" s="14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</row>
    <row r="263" spans="1:26" ht="14.25" customHeight="1" x14ac:dyDescent="0.35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</row>
    <row r="264" spans="1:26" ht="14.25" customHeight="1" x14ac:dyDescent="0.35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</row>
    <row r="265" spans="1:26" ht="14.25" customHeight="1" x14ac:dyDescent="0.35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</row>
    <row r="266" spans="1:26" ht="14.25" customHeight="1" x14ac:dyDescent="0.35">
      <c r="A266" s="14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</row>
    <row r="267" spans="1:26" ht="14.25" customHeight="1" x14ac:dyDescent="0.35">
      <c r="A267" s="14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</row>
    <row r="268" spans="1:26" ht="14.25" customHeight="1" x14ac:dyDescent="0.35">
      <c r="A268" s="14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</row>
    <row r="269" spans="1:26" ht="14.25" customHeight="1" x14ac:dyDescent="0.35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</row>
    <row r="270" spans="1:26" ht="14.25" customHeight="1" x14ac:dyDescent="0.35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</row>
    <row r="271" spans="1:26" ht="14.25" customHeight="1" x14ac:dyDescent="0.35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</row>
    <row r="272" spans="1:26" ht="14.25" customHeight="1" x14ac:dyDescent="0.35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</row>
    <row r="273" spans="1:26" ht="14.25" customHeight="1" x14ac:dyDescent="0.35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</row>
    <row r="274" spans="1:26" ht="14.25" customHeight="1" x14ac:dyDescent="0.35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</row>
    <row r="275" spans="1:26" ht="14.25" customHeight="1" x14ac:dyDescent="0.35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</row>
    <row r="276" spans="1:26" ht="14.25" customHeight="1" x14ac:dyDescent="0.35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</row>
    <row r="277" spans="1:26" ht="14.25" customHeight="1" x14ac:dyDescent="0.35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</row>
    <row r="278" spans="1:26" ht="14.25" customHeight="1" x14ac:dyDescent="0.35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</row>
    <row r="279" spans="1:26" ht="14.25" customHeight="1" x14ac:dyDescent="0.35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</row>
    <row r="280" spans="1:26" ht="14.25" customHeight="1" x14ac:dyDescent="0.35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</row>
    <row r="281" spans="1:26" ht="14.25" customHeight="1" x14ac:dyDescent="0.35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</row>
    <row r="282" spans="1:26" ht="14.25" customHeight="1" x14ac:dyDescent="0.35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</row>
    <row r="283" spans="1:26" ht="14.25" customHeight="1" x14ac:dyDescent="0.35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</row>
    <row r="284" spans="1:26" ht="14.25" customHeight="1" x14ac:dyDescent="0.35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</row>
    <row r="285" spans="1:26" ht="14.25" customHeight="1" x14ac:dyDescent="0.35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</row>
    <row r="286" spans="1:26" ht="14.25" customHeight="1" x14ac:dyDescent="0.35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</row>
    <row r="287" spans="1:26" ht="14.25" customHeight="1" x14ac:dyDescent="0.35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</row>
    <row r="288" spans="1:26" ht="14.25" customHeight="1" x14ac:dyDescent="0.35">
      <c r="A288" s="149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</row>
    <row r="289" spans="1:26" ht="14.25" customHeight="1" x14ac:dyDescent="0.35">
      <c r="A289" s="149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</row>
    <row r="290" spans="1:26" ht="14.25" customHeight="1" x14ac:dyDescent="0.35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</row>
    <row r="291" spans="1:26" ht="14.25" customHeight="1" x14ac:dyDescent="0.35">
      <c r="A291" s="149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</row>
    <row r="292" spans="1:26" ht="14.25" customHeight="1" x14ac:dyDescent="0.35">
      <c r="A292" s="149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</row>
    <row r="293" spans="1:26" ht="14.25" customHeight="1" x14ac:dyDescent="0.35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</row>
    <row r="294" spans="1:26" ht="14.25" customHeight="1" x14ac:dyDescent="0.35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</row>
    <row r="295" spans="1:26" ht="14.25" customHeight="1" x14ac:dyDescent="0.35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</row>
    <row r="296" spans="1:26" ht="14.25" customHeight="1" x14ac:dyDescent="0.35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</row>
    <row r="297" spans="1:26" ht="14.25" customHeight="1" x14ac:dyDescent="0.35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</row>
    <row r="298" spans="1:26" ht="14.25" customHeight="1" x14ac:dyDescent="0.35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</row>
    <row r="299" spans="1:26" ht="14.25" customHeight="1" x14ac:dyDescent="0.35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</row>
    <row r="300" spans="1:26" ht="14.25" customHeight="1" x14ac:dyDescent="0.35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</row>
    <row r="301" spans="1:26" ht="14.25" customHeight="1" x14ac:dyDescent="0.35">
      <c r="A301" s="149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</row>
    <row r="302" spans="1:26" ht="14.25" customHeight="1" x14ac:dyDescent="0.35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</row>
    <row r="303" spans="1:26" ht="14.25" customHeight="1" x14ac:dyDescent="0.35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</row>
    <row r="304" spans="1:26" ht="14.25" customHeight="1" x14ac:dyDescent="0.35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</row>
    <row r="305" spans="1:26" ht="14.25" customHeight="1" x14ac:dyDescent="0.35">
      <c r="A305" s="149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</row>
    <row r="306" spans="1:26" ht="14.25" customHeight="1" x14ac:dyDescent="0.35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</row>
    <row r="307" spans="1:26" ht="14.25" customHeight="1" x14ac:dyDescent="0.35">
      <c r="A307" s="149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</row>
    <row r="308" spans="1:26" ht="14.25" customHeight="1" x14ac:dyDescent="0.35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</row>
    <row r="309" spans="1:26" ht="14.25" customHeight="1" x14ac:dyDescent="0.35">
      <c r="A309" s="149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</row>
    <row r="310" spans="1:26" ht="14.25" customHeight="1" x14ac:dyDescent="0.35">
      <c r="A310" s="149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</row>
    <row r="311" spans="1:26" ht="14.25" customHeight="1" x14ac:dyDescent="0.35">
      <c r="A311" s="149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</row>
    <row r="312" spans="1:26" ht="14.25" customHeight="1" x14ac:dyDescent="0.35">
      <c r="A312" s="149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</row>
    <row r="313" spans="1:26" ht="14.25" customHeight="1" x14ac:dyDescent="0.35">
      <c r="A313" s="149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</row>
    <row r="314" spans="1:26" ht="14.25" customHeight="1" x14ac:dyDescent="0.35">
      <c r="A314" s="149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</row>
    <row r="315" spans="1:26" ht="14.25" customHeight="1" x14ac:dyDescent="0.35">
      <c r="A315" s="149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</row>
    <row r="316" spans="1:26" ht="14.25" customHeight="1" x14ac:dyDescent="0.35">
      <c r="A316" s="149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</row>
    <row r="317" spans="1:26" ht="14.25" customHeight="1" x14ac:dyDescent="0.35">
      <c r="A317" s="149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</row>
    <row r="318" spans="1:26" ht="14.25" customHeight="1" x14ac:dyDescent="0.35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</row>
    <row r="319" spans="1:26" ht="14.25" customHeight="1" x14ac:dyDescent="0.35">
      <c r="A319" s="149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</row>
    <row r="320" spans="1:26" ht="14.25" customHeight="1" x14ac:dyDescent="0.35">
      <c r="A320" s="149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</row>
    <row r="321" spans="1:26" ht="14.25" customHeight="1" x14ac:dyDescent="0.35">
      <c r="A321" s="149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</row>
    <row r="322" spans="1:26" ht="14.25" customHeight="1" x14ac:dyDescent="0.35">
      <c r="A322" s="149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</row>
    <row r="323" spans="1:26" ht="14.25" customHeight="1" x14ac:dyDescent="0.35">
      <c r="A323" s="149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</row>
    <row r="324" spans="1:26" ht="14.25" customHeight="1" x14ac:dyDescent="0.35">
      <c r="A324" s="149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</row>
    <row r="325" spans="1:26" ht="14.25" customHeight="1" x14ac:dyDescent="0.35">
      <c r="A325" s="149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</row>
    <row r="326" spans="1:26" ht="14.25" customHeight="1" x14ac:dyDescent="0.35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</row>
    <row r="327" spans="1:26" ht="14.25" customHeight="1" x14ac:dyDescent="0.35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</row>
    <row r="328" spans="1:26" ht="14.25" customHeight="1" x14ac:dyDescent="0.35">
      <c r="A328" s="149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</row>
    <row r="329" spans="1:26" ht="14.25" customHeight="1" x14ac:dyDescent="0.35">
      <c r="A329" s="149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</row>
    <row r="330" spans="1:26" ht="14.25" customHeight="1" x14ac:dyDescent="0.35">
      <c r="A330" s="149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</row>
    <row r="331" spans="1:26" ht="14.25" customHeight="1" x14ac:dyDescent="0.35">
      <c r="A331" s="149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</row>
    <row r="332" spans="1:26" ht="14.25" customHeight="1" x14ac:dyDescent="0.35">
      <c r="A332" s="149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</row>
    <row r="333" spans="1:26" ht="14.25" customHeight="1" x14ac:dyDescent="0.35">
      <c r="A333" s="149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</row>
    <row r="334" spans="1:26" ht="14.25" customHeight="1" x14ac:dyDescent="0.35">
      <c r="A334" s="149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</row>
    <row r="335" spans="1:26" ht="14.25" customHeight="1" x14ac:dyDescent="0.35">
      <c r="A335" s="149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</row>
    <row r="336" spans="1:26" ht="14.25" customHeight="1" x14ac:dyDescent="0.35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</row>
    <row r="337" spans="1:26" ht="14.25" customHeight="1" x14ac:dyDescent="0.35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</row>
    <row r="338" spans="1:26" ht="14.25" customHeight="1" x14ac:dyDescent="0.35">
      <c r="A338" s="149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</row>
    <row r="339" spans="1:26" ht="14.25" customHeight="1" x14ac:dyDescent="0.35">
      <c r="A339" s="149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</row>
    <row r="340" spans="1:26" ht="14.25" customHeight="1" x14ac:dyDescent="0.35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</row>
    <row r="341" spans="1:26" ht="14.25" customHeight="1" x14ac:dyDescent="0.35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</row>
    <row r="342" spans="1:26" ht="14.25" customHeight="1" x14ac:dyDescent="0.35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</row>
    <row r="343" spans="1:26" ht="14.25" customHeight="1" x14ac:dyDescent="0.35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</row>
    <row r="344" spans="1:26" ht="14.25" customHeight="1" x14ac:dyDescent="0.35">
      <c r="A344" s="149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</row>
    <row r="345" spans="1:26" ht="14.25" customHeight="1" x14ac:dyDescent="0.35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</row>
    <row r="346" spans="1:26" ht="14.25" customHeight="1" x14ac:dyDescent="0.35">
      <c r="A346" s="149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</row>
    <row r="347" spans="1:26" ht="14.25" customHeight="1" x14ac:dyDescent="0.35">
      <c r="A347" s="149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</row>
    <row r="348" spans="1:26" ht="14.25" customHeight="1" x14ac:dyDescent="0.35">
      <c r="A348" s="149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</row>
    <row r="349" spans="1:26" ht="14.25" customHeight="1" x14ac:dyDescent="0.35">
      <c r="A349" s="149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</row>
    <row r="350" spans="1:26" ht="14.25" customHeight="1" x14ac:dyDescent="0.35">
      <c r="A350" s="149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</row>
    <row r="351" spans="1:26" ht="14.25" customHeight="1" x14ac:dyDescent="0.35">
      <c r="A351" s="149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</row>
    <row r="352" spans="1:26" ht="14.25" customHeight="1" x14ac:dyDescent="0.35">
      <c r="A352" s="149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</row>
    <row r="353" spans="1:26" ht="14.25" customHeight="1" x14ac:dyDescent="0.35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</row>
    <row r="354" spans="1:26" ht="14.25" customHeight="1" x14ac:dyDescent="0.35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</row>
    <row r="355" spans="1:26" ht="14.25" customHeight="1" x14ac:dyDescent="0.35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</row>
    <row r="356" spans="1:26" ht="14.25" customHeight="1" x14ac:dyDescent="0.35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</row>
    <row r="357" spans="1:26" ht="14.25" customHeight="1" x14ac:dyDescent="0.35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</row>
    <row r="358" spans="1:26" ht="14.25" customHeight="1" x14ac:dyDescent="0.35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</row>
    <row r="359" spans="1:26" ht="14.25" customHeight="1" x14ac:dyDescent="0.35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</row>
    <row r="360" spans="1:26" ht="14.25" customHeight="1" x14ac:dyDescent="0.35">
      <c r="A360" s="149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</row>
    <row r="361" spans="1:26" ht="14.25" customHeight="1" x14ac:dyDescent="0.35">
      <c r="A361" s="149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</row>
    <row r="362" spans="1:26" ht="14.25" customHeight="1" x14ac:dyDescent="0.35">
      <c r="A362" s="149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</row>
    <row r="363" spans="1:26" ht="14.25" customHeight="1" x14ac:dyDescent="0.35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</row>
    <row r="364" spans="1:26" ht="14.25" customHeight="1" x14ac:dyDescent="0.35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</row>
    <row r="365" spans="1:26" ht="14.25" customHeight="1" x14ac:dyDescent="0.35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</row>
    <row r="366" spans="1:26" ht="14.25" customHeight="1" x14ac:dyDescent="0.35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</row>
    <row r="367" spans="1:26" ht="14.25" customHeight="1" x14ac:dyDescent="0.35">
      <c r="A367" s="149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</row>
    <row r="368" spans="1:26" ht="14.25" customHeight="1" x14ac:dyDescent="0.35">
      <c r="A368" s="149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</row>
    <row r="369" spans="1:26" ht="14.25" customHeight="1" x14ac:dyDescent="0.35">
      <c r="A369" s="149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</row>
    <row r="370" spans="1:26" ht="14.25" customHeight="1" x14ac:dyDescent="0.35">
      <c r="A370" s="149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</row>
    <row r="371" spans="1:26" ht="14.25" customHeight="1" x14ac:dyDescent="0.35">
      <c r="A371" s="149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</row>
    <row r="372" spans="1:26" ht="14.25" customHeight="1" x14ac:dyDescent="0.35">
      <c r="A372" s="149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</row>
    <row r="373" spans="1:26" ht="14.25" customHeight="1" x14ac:dyDescent="0.35">
      <c r="A373" s="149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</row>
    <row r="374" spans="1:26" ht="14.25" customHeight="1" x14ac:dyDescent="0.35">
      <c r="A374" s="149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</row>
    <row r="375" spans="1:26" ht="14.25" customHeight="1" x14ac:dyDescent="0.35">
      <c r="A375" s="149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</row>
    <row r="376" spans="1:26" ht="14.25" customHeight="1" x14ac:dyDescent="0.35">
      <c r="A376" s="149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</row>
    <row r="377" spans="1:26" ht="14.25" customHeight="1" x14ac:dyDescent="0.35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</row>
    <row r="378" spans="1:26" ht="14.25" customHeight="1" x14ac:dyDescent="0.35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</row>
    <row r="379" spans="1:26" ht="14.25" customHeight="1" x14ac:dyDescent="0.35">
      <c r="A379" s="149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</row>
    <row r="380" spans="1:26" ht="14.25" customHeight="1" x14ac:dyDescent="0.35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</row>
    <row r="381" spans="1:26" ht="14.25" customHeight="1" x14ac:dyDescent="0.35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</row>
    <row r="382" spans="1:26" ht="14.25" customHeight="1" x14ac:dyDescent="0.35">
      <c r="A382" s="149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</row>
    <row r="383" spans="1:26" ht="14.25" customHeight="1" x14ac:dyDescent="0.35">
      <c r="A383" s="149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</row>
    <row r="384" spans="1:26" ht="14.25" customHeight="1" x14ac:dyDescent="0.35">
      <c r="A384" s="149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</row>
    <row r="385" spans="1:26" ht="14.25" customHeight="1" x14ac:dyDescent="0.35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</row>
    <row r="386" spans="1:26" ht="14.25" customHeight="1" x14ac:dyDescent="0.35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</row>
    <row r="387" spans="1:26" ht="14.25" customHeight="1" x14ac:dyDescent="0.35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</row>
    <row r="388" spans="1:26" ht="14.25" customHeight="1" x14ac:dyDescent="0.35">
      <c r="A388" s="149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</row>
    <row r="389" spans="1:26" ht="14.25" customHeight="1" x14ac:dyDescent="0.35">
      <c r="A389" s="149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  <c r="Z389" s="149"/>
    </row>
    <row r="390" spans="1:26" ht="14.25" customHeight="1" x14ac:dyDescent="0.35">
      <c r="A390" s="149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  <c r="Z390" s="149"/>
    </row>
    <row r="391" spans="1:26" ht="14.25" customHeight="1" x14ac:dyDescent="0.35">
      <c r="A391" s="149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  <c r="Z391" s="149"/>
    </row>
    <row r="392" spans="1:26" ht="14.25" customHeight="1" x14ac:dyDescent="0.35">
      <c r="A392" s="149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  <c r="Z392" s="149"/>
    </row>
    <row r="393" spans="1:26" ht="14.25" customHeight="1" x14ac:dyDescent="0.35">
      <c r="A393" s="149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  <c r="Z393" s="149"/>
    </row>
    <row r="394" spans="1:26" ht="14.25" customHeight="1" x14ac:dyDescent="0.35">
      <c r="A394" s="149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</row>
    <row r="395" spans="1:26" ht="14.25" customHeight="1" x14ac:dyDescent="0.35">
      <c r="A395" s="149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  <c r="Z395" s="149"/>
    </row>
    <row r="396" spans="1:26" ht="14.25" customHeight="1" x14ac:dyDescent="0.35">
      <c r="A396" s="149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  <c r="Z396" s="149"/>
    </row>
    <row r="397" spans="1:26" ht="14.25" customHeight="1" x14ac:dyDescent="0.35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  <c r="Z397" s="149"/>
    </row>
    <row r="398" spans="1:26" ht="14.25" customHeight="1" x14ac:dyDescent="0.35">
      <c r="A398" s="149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  <c r="Z398" s="149"/>
    </row>
    <row r="399" spans="1:26" ht="14.25" customHeight="1" x14ac:dyDescent="0.35">
      <c r="A399" s="149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  <c r="Z399" s="149"/>
    </row>
    <row r="400" spans="1:26" ht="14.25" customHeight="1" x14ac:dyDescent="0.35">
      <c r="A400" s="149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  <c r="Z400" s="149"/>
    </row>
    <row r="401" spans="1:26" ht="14.25" customHeight="1" x14ac:dyDescent="0.35">
      <c r="A401" s="149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  <c r="Z401" s="149"/>
    </row>
    <row r="402" spans="1:26" ht="14.25" customHeight="1" x14ac:dyDescent="0.35">
      <c r="A402" s="149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  <c r="Z402" s="149"/>
    </row>
    <row r="403" spans="1:26" ht="14.25" customHeight="1" x14ac:dyDescent="0.35">
      <c r="A403" s="149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  <c r="Z403" s="149"/>
    </row>
    <row r="404" spans="1:26" ht="14.25" customHeight="1" x14ac:dyDescent="0.35">
      <c r="A404" s="149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  <c r="Z404" s="149"/>
    </row>
    <row r="405" spans="1:26" ht="14.25" customHeight="1" x14ac:dyDescent="0.35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  <c r="Z405" s="149"/>
    </row>
    <row r="406" spans="1:26" ht="14.25" customHeight="1" x14ac:dyDescent="0.35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  <c r="Z406" s="149"/>
    </row>
    <row r="407" spans="1:26" ht="14.25" customHeight="1" x14ac:dyDescent="0.35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  <c r="Z407" s="149"/>
    </row>
    <row r="408" spans="1:26" ht="14.25" customHeight="1" x14ac:dyDescent="0.35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  <c r="Z408" s="149"/>
    </row>
    <row r="409" spans="1:26" ht="14.25" customHeight="1" x14ac:dyDescent="0.35">
      <c r="A409" s="149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  <c r="Z409" s="149"/>
    </row>
    <row r="410" spans="1:26" ht="14.25" customHeight="1" x14ac:dyDescent="0.35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  <c r="Z410" s="149"/>
    </row>
    <row r="411" spans="1:26" ht="14.25" customHeight="1" x14ac:dyDescent="0.35">
      <c r="A411" s="149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  <c r="Z411" s="149"/>
    </row>
    <row r="412" spans="1:26" ht="14.25" customHeight="1" x14ac:dyDescent="0.35">
      <c r="A412" s="149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  <c r="Z412" s="149"/>
    </row>
    <row r="413" spans="1:26" ht="14.25" customHeight="1" x14ac:dyDescent="0.35">
      <c r="A413" s="149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  <c r="Z413" s="149"/>
    </row>
    <row r="414" spans="1:26" ht="14.25" customHeight="1" x14ac:dyDescent="0.35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  <c r="Z414" s="149"/>
    </row>
    <row r="415" spans="1:26" ht="14.25" customHeight="1" x14ac:dyDescent="0.35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  <c r="Z415" s="149"/>
    </row>
    <row r="416" spans="1:26" ht="14.25" customHeight="1" x14ac:dyDescent="0.35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  <c r="Z416" s="149"/>
    </row>
    <row r="417" spans="1:26" ht="14.25" customHeight="1" x14ac:dyDescent="0.35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  <c r="Z417" s="149"/>
    </row>
    <row r="418" spans="1:26" ht="14.25" customHeight="1" x14ac:dyDescent="0.35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  <c r="Z418" s="149"/>
    </row>
    <row r="419" spans="1:26" ht="14.25" customHeight="1" x14ac:dyDescent="0.35">
      <c r="A419" s="149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  <c r="Z419" s="149"/>
    </row>
    <row r="420" spans="1:26" ht="14.25" customHeight="1" x14ac:dyDescent="0.35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  <c r="Z420" s="149"/>
    </row>
    <row r="421" spans="1:26" ht="14.25" customHeight="1" x14ac:dyDescent="0.35">
      <c r="A421" s="149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  <c r="Z421" s="149"/>
    </row>
    <row r="422" spans="1:26" ht="14.25" customHeight="1" x14ac:dyDescent="0.35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  <c r="Z422" s="149"/>
    </row>
    <row r="423" spans="1:26" ht="14.25" customHeight="1" x14ac:dyDescent="0.35">
      <c r="A423" s="149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  <c r="Z423" s="149"/>
    </row>
    <row r="424" spans="1:26" ht="14.25" customHeight="1" x14ac:dyDescent="0.35">
      <c r="A424" s="149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  <c r="Z424" s="149"/>
    </row>
    <row r="425" spans="1:26" ht="14.25" customHeight="1" x14ac:dyDescent="0.35">
      <c r="A425" s="149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  <c r="Z425" s="149"/>
    </row>
    <row r="426" spans="1:26" ht="14.25" customHeight="1" x14ac:dyDescent="0.35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  <c r="Z426" s="149"/>
    </row>
    <row r="427" spans="1:26" ht="14.25" customHeight="1" x14ac:dyDescent="0.35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</row>
    <row r="428" spans="1:26" ht="14.25" customHeight="1" x14ac:dyDescent="0.35">
      <c r="A428" s="149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  <c r="Z428" s="149"/>
    </row>
    <row r="429" spans="1:26" ht="14.25" customHeight="1" x14ac:dyDescent="0.35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</row>
    <row r="430" spans="1:26" ht="14.25" customHeight="1" x14ac:dyDescent="0.35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  <c r="Z430" s="149"/>
    </row>
    <row r="431" spans="1:26" ht="14.25" customHeight="1" x14ac:dyDescent="0.35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  <c r="Z431" s="149"/>
    </row>
    <row r="432" spans="1:26" ht="14.25" customHeight="1" x14ac:dyDescent="0.35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  <c r="Z432" s="149"/>
    </row>
    <row r="433" spans="1:26" ht="14.25" customHeight="1" x14ac:dyDescent="0.35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  <c r="Z433" s="149"/>
    </row>
    <row r="434" spans="1:26" ht="14.25" customHeight="1" x14ac:dyDescent="0.35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  <c r="Z434" s="149"/>
    </row>
    <row r="435" spans="1:26" ht="14.25" customHeight="1" x14ac:dyDescent="0.35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  <c r="Z435" s="149"/>
    </row>
    <row r="436" spans="1:26" ht="14.25" customHeight="1" x14ac:dyDescent="0.35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  <c r="Z436" s="149"/>
    </row>
    <row r="437" spans="1:26" ht="14.25" customHeight="1" x14ac:dyDescent="0.35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  <c r="Z437" s="149"/>
    </row>
    <row r="438" spans="1:26" ht="14.25" customHeight="1" x14ac:dyDescent="0.35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  <c r="Z438" s="149"/>
    </row>
    <row r="439" spans="1:26" ht="14.25" customHeight="1" x14ac:dyDescent="0.35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  <c r="Z439" s="149"/>
    </row>
    <row r="440" spans="1:26" ht="14.25" customHeight="1" x14ac:dyDescent="0.35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  <c r="Z440" s="149"/>
    </row>
    <row r="441" spans="1:26" ht="14.25" customHeight="1" x14ac:dyDescent="0.35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</row>
    <row r="442" spans="1:26" ht="14.25" customHeight="1" x14ac:dyDescent="0.35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  <c r="Z442" s="149"/>
    </row>
    <row r="443" spans="1:26" ht="14.25" customHeight="1" x14ac:dyDescent="0.35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  <c r="Z443" s="149"/>
    </row>
    <row r="444" spans="1:26" ht="14.25" customHeight="1" x14ac:dyDescent="0.35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  <c r="Z444" s="149"/>
    </row>
    <row r="445" spans="1:26" ht="14.25" customHeight="1" x14ac:dyDescent="0.35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</row>
    <row r="446" spans="1:26" ht="14.25" customHeight="1" x14ac:dyDescent="0.35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</row>
    <row r="447" spans="1:26" ht="14.25" customHeight="1" x14ac:dyDescent="0.35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  <c r="Z447" s="149"/>
    </row>
    <row r="448" spans="1:26" ht="14.25" customHeight="1" x14ac:dyDescent="0.35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  <c r="Z448" s="149"/>
    </row>
    <row r="449" spans="1:26" ht="14.25" customHeight="1" x14ac:dyDescent="0.35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  <c r="Z449" s="149"/>
    </row>
    <row r="450" spans="1:26" ht="14.25" customHeight="1" x14ac:dyDescent="0.35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  <c r="Z450" s="149"/>
    </row>
    <row r="451" spans="1:26" ht="14.25" customHeight="1" x14ac:dyDescent="0.35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  <c r="Z451" s="149"/>
    </row>
    <row r="452" spans="1:26" ht="14.25" customHeight="1" x14ac:dyDescent="0.35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  <c r="Z452" s="149"/>
    </row>
    <row r="453" spans="1:26" ht="14.25" customHeight="1" x14ac:dyDescent="0.35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  <c r="Z453" s="149"/>
    </row>
    <row r="454" spans="1:26" ht="14.25" customHeight="1" x14ac:dyDescent="0.35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  <c r="Z454" s="149"/>
    </row>
    <row r="455" spans="1:26" ht="14.25" customHeight="1" x14ac:dyDescent="0.35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  <c r="Z455" s="149"/>
    </row>
    <row r="456" spans="1:26" ht="14.25" customHeight="1" x14ac:dyDescent="0.35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  <c r="Z456" s="149"/>
    </row>
    <row r="457" spans="1:26" ht="14.25" customHeight="1" x14ac:dyDescent="0.35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  <c r="Z457" s="149"/>
    </row>
    <row r="458" spans="1:26" ht="14.25" customHeight="1" x14ac:dyDescent="0.35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  <c r="Z458" s="149"/>
    </row>
    <row r="459" spans="1:26" ht="14.25" customHeight="1" x14ac:dyDescent="0.35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  <c r="Z459" s="149"/>
    </row>
    <row r="460" spans="1:26" ht="14.25" customHeight="1" x14ac:dyDescent="0.35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  <c r="Z460" s="149"/>
    </row>
    <row r="461" spans="1:26" ht="14.25" customHeight="1" x14ac:dyDescent="0.35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  <c r="Z461" s="149"/>
    </row>
    <row r="462" spans="1:26" ht="14.25" customHeight="1" x14ac:dyDescent="0.35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  <c r="Z462" s="149"/>
    </row>
    <row r="463" spans="1:26" ht="14.25" customHeight="1" x14ac:dyDescent="0.35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</row>
    <row r="464" spans="1:26" ht="14.25" customHeight="1" x14ac:dyDescent="0.35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</row>
    <row r="465" spans="1:26" ht="14.25" customHeight="1" x14ac:dyDescent="0.35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</row>
    <row r="466" spans="1:26" ht="14.25" customHeight="1" x14ac:dyDescent="0.35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  <c r="Z466" s="149"/>
    </row>
    <row r="467" spans="1:26" ht="14.25" customHeight="1" x14ac:dyDescent="0.35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  <c r="Z467" s="149"/>
    </row>
    <row r="468" spans="1:26" ht="14.25" customHeight="1" x14ac:dyDescent="0.35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  <c r="Z468" s="149"/>
    </row>
    <row r="469" spans="1:26" ht="14.25" customHeight="1" x14ac:dyDescent="0.35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  <c r="Z469" s="149"/>
    </row>
    <row r="470" spans="1:26" ht="14.25" customHeight="1" x14ac:dyDescent="0.35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  <c r="Z470" s="149"/>
    </row>
    <row r="471" spans="1:26" ht="14.25" customHeight="1" x14ac:dyDescent="0.35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  <c r="Z471" s="149"/>
    </row>
    <row r="472" spans="1:26" ht="14.25" customHeight="1" x14ac:dyDescent="0.35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  <c r="Z472" s="149"/>
    </row>
    <row r="473" spans="1:26" ht="14.25" customHeight="1" x14ac:dyDescent="0.35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  <c r="Z473" s="149"/>
    </row>
    <row r="474" spans="1:26" ht="14.25" customHeight="1" x14ac:dyDescent="0.35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  <c r="Z474" s="149"/>
    </row>
    <row r="475" spans="1:26" ht="14.25" customHeight="1" x14ac:dyDescent="0.35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  <c r="Z475" s="149"/>
    </row>
    <row r="476" spans="1:26" ht="14.25" customHeight="1" x14ac:dyDescent="0.35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  <c r="Z476" s="149"/>
    </row>
    <row r="477" spans="1:26" ht="14.25" customHeight="1" x14ac:dyDescent="0.35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  <c r="Z477" s="149"/>
    </row>
    <row r="478" spans="1:26" ht="14.25" customHeight="1" x14ac:dyDescent="0.35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  <c r="Z478" s="149"/>
    </row>
    <row r="479" spans="1:26" ht="14.25" customHeight="1" x14ac:dyDescent="0.35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  <c r="Z479" s="149"/>
    </row>
    <row r="480" spans="1:26" ht="14.25" customHeight="1" x14ac:dyDescent="0.35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  <c r="Z480" s="149"/>
    </row>
    <row r="481" spans="1:26" ht="14.25" customHeight="1" x14ac:dyDescent="0.35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  <c r="Z481" s="149"/>
    </row>
    <row r="482" spans="1:26" ht="14.25" customHeight="1" x14ac:dyDescent="0.35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  <c r="Z482" s="149"/>
    </row>
    <row r="483" spans="1:26" ht="14.25" customHeight="1" x14ac:dyDescent="0.35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  <c r="Z483" s="149"/>
    </row>
    <row r="484" spans="1:26" ht="14.25" customHeight="1" x14ac:dyDescent="0.35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  <c r="Y484" s="149"/>
      <c r="Z484" s="149"/>
    </row>
    <row r="485" spans="1:26" ht="14.25" customHeight="1" x14ac:dyDescent="0.35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  <c r="Z485" s="149"/>
    </row>
    <row r="486" spans="1:26" ht="14.25" customHeight="1" x14ac:dyDescent="0.35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  <c r="Z486" s="149"/>
    </row>
    <row r="487" spans="1:26" ht="14.25" customHeight="1" x14ac:dyDescent="0.35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  <c r="Z487" s="149"/>
    </row>
    <row r="488" spans="1:26" ht="14.25" customHeight="1" x14ac:dyDescent="0.35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  <c r="Y488" s="149"/>
      <c r="Z488" s="149"/>
    </row>
    <row r="489" spans="1:26" ht="14.25" customHeight="1" x14ac:dyDescent="0.3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  <c r="Y489" s="149"/>
      <c r="Z489" s="149"/>
    </row>
    <row r="490" spans="1:26" ht="14.25" customHeight="1" x14ac:dyDescent="0.3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  <c r="Z490" s="149"/>
    </row>
    <row r="491" spans="1:26" ht="14.25" customHeight="1" x14ac:dyDescent="0.3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  <c r="Z491" s="149"/>
    </row>
    <row r="492" spans="1:26" ht="14.25" customHeight="1" x14ac:dyDescent="0.3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  <c r="Y492" s="149"/>
      <c r="Z492" s="149"/>
    </row>
    <row r="493" spans="1:26" ht="14.25" customHeight="1" x14ac:dyDescent="0.3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  <c r="Y493" s="149"/>
      <c r="Z493" s="149"/>
    </row>
    <row r="494" spans="1:26" ht="14.25" customHeight="1" x14ac:dyDescent="0.35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  <c r="Z494" s="149"/>
    </row>
    <row r="495" spans="1:26" ht="14.25" customHeight="1" x14ac:dyDescent="0.35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  <c r="Z495" s="149"/>
    </row>
    <row r="496" spans="1:26" ht="14.25" customHeight="1" x14ac:dyDescent="0.35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  <c r="Z496" s="149"/>
    </row>
    <row r="497" spans="1:26" ht="14.25" customHeight="1" x14ac:dyDescent="0.35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  <c r="Z497" s="149"/>
    </row>
    <row r="498" spans="1:26" ht="14.25" customHeight="1" x14ac:dyDescent="0.35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  <c r="Z498" s="149"/>
    </row>
    <row r="499" spans="1:26" ht="14.25" customHeight="1" x14ac:dyDescent="0.35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  <c r="Y499" s="149"/>
      <c r="Z499" s="149"/>
    </row>
    <row r="500" spans="1:26" ht="14.25" customHeight="1" x14ac:dyDescent="0.3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  <c r="Y500" s="149"/>
      <c r="Z500" s="149"/>
    </row>
    <row r="501" spans="1:26" ht="14.25" customHeight="1" x14ac:dyDescent="0.3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  <c r="Z501" s="149"/>
    </row>
    <row r="502" spans="1:26" ht="14.25" customHeight="1" x14ac:dyDescent="0.35">
      <c r="A502" s="149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  <c r="Z502" s="149"/>
    </row>
    <row r="503" spans="1:26" ht="14.25" customHeight="1" x14ac:dyDescent="0.3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  <c r="Y503" s="149"/>
      <c r="Z503" s="149"/>
    </row>
    <row r="504" spans="1:26" ht="14.25" customHeight="1" x14ac:dyDescent="0.35">
      <c r="A504" s="149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  <c r="Z504" s="149"/>
    </row>
    <row r="505" spans="1:26" ht="14.25" customHeight="1" x14ac:dyDescent="0.3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  <c r="Z505" s="149"/>
    </row>
    <row r="506" spans="1:26" ht="14.25" customHeight="1" x14ac:dyDescent="0.35">
      <c r="A506" s="149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  <c r="Z506" s="149"/>
    </row>
    <row r="507" spans="1:26" ht="14.25" customHeight="1" x14ac:dyDescent="0.3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  <c r="Z507" s="149"/>
    </row>
    <row r="508" spans="1:26" ht="14.25" customHeight="1" x14ac:dyDescent="0.35">
      <c r="A508" s="149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  <c r="Y508" s="149"/>
      <c r="Z508" s="149"/>
    </row>
    <row r="509" spans="1:26" ht="14.25" customHeight="1" x14ac:dyDescent="0.3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  <c r="Z509" s="149"/>
    </row>
    <row r="510" spans="1:26" ht="14.25" customHeight="1" x14ac:dyDescent="0.35">
      <c r="A510" s="149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  <c r="Y510" s="149"/>
      <c r="Z510" s="149"/>
    </row>
    <row r="511" spans="1:26" ht="14.25" customHeight="1" x14ac:dyDescent="0.3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  <c r="Z511" s="149"/>
    </row>
    <row r="512" spans="1:26" ht="14.25" customHeight="1" x14ac:dyDescent="0.35">
      <c r="A512" s="149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  <c r="Y512" s="149"/>
      <c r="Z512" s="149"/>
    </row>
    <row r="513" spans="1:26" ht="14.25" customHeight="1" x14ac:dyDescent="0.3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  <c r="Y513" s="149"/>
      <c r="Z513" s="149"/>
    </row>
    <row r="514" spans="1:26" ht="14.25" customHeight="1" x14ac:dyDescent="0.35">
      <c r="A514" s="149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  <c r="Z514" s="149"/>
    </row>
    <row r="515" spans="1:26" ht="14.25" customHeight="1" x14ac:dyDescent="0.3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  <c r="Y515" s="149"/>
      <c r="Z515" s="149"/>
    </row>
    <row r="516" spans="1:26" ht="14.25" customHeight="1" x14ac:dyDescent="0.35">
      <c r="A516" s="149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  <c r="Z516" s="149"/>
    </row>
    <row r="517" spans="1:26" ht="14.25" customHeight="1" x14ac:dyDescent="0.3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  <c r="Z517" s="149"/>
    </row>
    <row r="518" spans="1:26" ht="14.25" customHeight="1" x14ac:dyDescent="0.35">
      <c r="A518" s="149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  <c r="Z518" s="149"/>
    </row>
    <row r="519" spans="1:26" ht="14.25" customHeight="1" x14ac:dyDescent="0.3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  <c r="Y519" s="149"/>
      <c r="Z519" s="149"/>
    </row>
    <row r="520" spans="1:26" ht="14.25" customHeight="1" x14ac:dyDescent="0.35">
      <c r="A520" s="149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  <c r="Y520" s="149"/>
      <c r="Z520" s="149"/>
    </row>
    <row r="521" spans="1:26" ht="14.25" customHeight="1" x14ac:dyDescent="0.3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  <c r="Z521" s="149"/>
    </row>
    <row r="522" spans="1:26" ht="14.25" customHeight="1" x14ac:dyDescent="0.35">
      <c r="A522" s="149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  <c r="Y522" s="149"/>
      <c r="Z522" s="149"/>
    </row>
    <row r="523" spans="1:26" ht="14.25" customHeight="1" x14ac:dyDescent="0.3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  <c r="Y523" s="149"/>
      <c r="Z523" s="149"/>
    </row>
    <row r="524" spans="1:26" ht="14.25" customHeight="1" x14ac:dyDescent="0.35">
      <c r="A524" s="149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  <c r="Y524" s="149"/>
      <c r="Z524" s="149"/>
    </row>
    <row r="525" spans="1:26" ht="14.25" customHeight="1" x14ac:dyDescent="0.3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  <c r="Y525" s="149"/>
      <c r="Z525" s="149"/>
    </row>
    <row r="526" spans="1:26" ht="14.25" customHeight="1" x14ac:dyDescent="0.35">
      <c r="A526" s="149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  <c r="Y526" s="149"/>
      <c r="Z526" s="149"/>
    </row>
    <row r="527" spans="1:26" ht="14.25" customHeight="1" x14ac:dyDescent="0.3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  <c r="Y527" s="149"/>
      <c r="Z527" s="149"/>
    </row>
    <row r="528" spans="1:26" ht="14.25" customHeight="1" x14ac:dyDescent="0.35">
      <c r="A528" s="149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  <c r="Y528" s="149"/>
      <c r="Z528" s="149"/>
    </row>
    <row r="529" spans="1:26" ht="14.25" customHeight="1" x14ac:dyDescent="0.3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  <c r="Y529" s="149"/>
      <c r="Z529" s="149"/>
    </row>
    <row r="530" spans="1:26" ht="14.25" customHeight="1" x14ac:dyDescent="0.35">
      <c r="A530" s="149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  <c r="Y530" s="149"/>
      <c r="Z530" s="149"/>
    </row>
    <row r="531" spans="1:26" ht="14.25" customHeight="1" x14ac:dyDescent="0.3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  <c r="Y531" s="149"/>
      <c r="Z531" s="149"/>
    </row>
    <row r="532" spans="1:26" ht="14.25" customHeight="1" x14ac:dyDescent="0.35">
      <c r="A532" s="149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  <c r="Y532" s="149"/>
      <c r="Z532" s="149"/>
    </row>
    <row r="533" spans="1:26" ht="14.25" customHeight="1" x14ac:dyDescent="0.3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  <c r="Y533" s="149"/>
      <c r="Z533" s="149"/>
    </row>
    <row r="534" spans="1:26" ht="14.25" customHeight="1" x14ac:dyDescent="0.35">
      <c r="A534" s="149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49"/>
      <c r="U534" s="149"/>
      <c r="V534" s="149"/>
      <c r="W534" s="149"/>
      <c r="X534" s="149"/>
      <c r="Y534" s="149"/>
      <c r="Z534" s="149"/>
    </row>
    <row r="535" spans="1:26" ht="14.25" customHeight="1" x14ac:dyDescent="0.3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  <c r="W535" s="149"/>
      <c r="X535" s="149"/>
      <c r="Y535" s="149"/>
      <c r="Z535" s="149"/>
    </row>
    <row r="536" spans="1:26" ht="14.25" customHeight="1" x14ac:dyDescent="0.35">
      <c r="A536" s="149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  <c r="Z536" s="149"/>
    </row>
    <row r="537" spans="1:26" ht="14.25" customHeight="1" x14ac:dyDescent="0.3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  <c r="Y537" s="149"/>
      <c r="Z537" s="149"/>
    </row>
    <row r="538" spans="1:26" ht="14.25" customHeight="1" x14ac:dyDescent="0.35">
      <c r="A538" s="149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  <c r="Y538" s="149"/>
      <c r="Z538" s="149"/>
    </row>
    <row r="539" spans="1:26" ht="14.25" customHeight="1" x14ac:dyDescent="0.3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  <c r="Z539" s="149"/>
    </row>
    <row r="540" spans="1:26" ht="14.25" customHeight="1" x14ac:dyDescent="0.35">
      <c r="A540" s="149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  <c r="Y540" s="149"/>
      <c r="Z540" s="149"/>
    </row>
    <row r="541" spans="1:26" ht="14.25" customHeight="1" x14ac:dyDescent="0.3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  <c r="Z541" s="149"/>
    </row>
    <row r="542" spans="1:26" ht="14.25" customHeight="1" x14ac:dyDescent="0.35">
      <c r="A542" s="14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  <c r="W542" s="149"/>
      <c r="X542" s="149"/>
      <c r="Y542" s="149"/>
      <c r="Z542" s="149"/>
    </row>
    <row r="543" spans="1:26" ht="14.25" customHeight="1" x14ac:dyDescent="0.3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  <c r="Y543" s="149"/>
      <c r="Z543" s="149"/>
    </row>
    <row r="544" spans="1:26" ht="14.25" customHeight="1" x14ac:dyDescent="0.35">
      <c r="A544" s="149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  <c r="Z544" s="149"/>
    </row>
    <row r="545" spans="1:26" ht="14.25" customHeight="1" x14ac:dyDescent="0.3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  <c r="Z545" s="149"/>
    </row>
    <row r="546" spans="1:26" ht="14.25" customHeight="1" x14ac:dyDescent="0.35">
      <c r="A546" s="149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  <c r="Y546" s="149"/>
      <c r="Z546" s="149"/>
    </row>
    <row r="547" spans="1:26" ht="14.25" customHeight="1" x14ac:dyDescent="0.3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  <c r="W547" s="149"/>
      <c r="X547" s="149"/>
      <c r="Y547" s="149"/>
      <c r="Z547" s="149"/>
    </row>
    <row r="548" spans="1:26" ht="14.25" customHeight="1" x14ac:dyDescent="0.35">
      <c r="A548" s="149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  <c r="Z548" s="149"/>
    </row>
    <row r="549" spans="1:26" ht="14.25" customHeight="1" x14ac:dyDescent="0.3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  <c r="Y549" s="149"/>
      <c r="Z549" s="149"/>
    </row>
    <row r="550" spans="1:26" ht="14.25" customHeight="1" x14ac:dyDescent="0.35">
      <c r="A550" s="149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  <c r="Y550" s="149"/>
      <c r="Z550" s="149"/>
    </row>
    <row r="551" spans="1:26" ht="14.25" customHeight="1" x14ac:dyDescent="0.3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  <c r="Y551" s="149"/>
      <c r="Z551" s="149"/>
    </row>
    <row r="552" spans="1:26" ht="14.25" customHeight="1" x14ac:dyDescent="0.35">
      <c r="A552" s="149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  <c r="Z552" s="149"/>
    </row>
    <row r="553" spans="1:26" ht="14.25" customHeight="1" x14ac:dyDescent="0.3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  <c r="Y553" s="149"/>
      <c r="Z553" s="149"/>
    </row>
    <row r="554" spans="1:26" ht="14.25" customHeight="1" x14ac:dyDescent="0.35">
      <c r="A554" s="149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  <c r="Z554" s="149"/>
    </row>
    <row r="555" spans="1:26" ht="14.25" customHeight="1" x14ac:dyDescent="0.3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/>
      <c r="Z555" s="149"/>
    </row>
    <row r="556" spans="1:26" ht="14.25" customHeight="1" x14ac:dyDescent="0.35">
      <c r="A556" s="149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  <c r="W556" s="149"/>
      <c r="X556" s="149"/>
      <c r="Y556" s="149"/>
      <c r="Z556" s="149"/>
    </row>
    <row r="557" spans="1:26" ht="14.25" customHeight="1" x14ac:dyDescent="0.3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  <c r="Y557" s="149"/>
      <c r="Z557" s="149"/>
    </row>
    <row r="558" spans="1:26" ht="14.25" customHeight="1" x14ac:dyDescent="0.35">
      <c r="A558" s="149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  <c r="Z558" s="149"/>
    </row>
    <row r="559" spans="1:26" ht="14.25" customHeight="1" x14ac:dyDescent="0.3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  <c r="W559" s="149"/>
      <c r="X559" s="149"/>
      <c r="Y559" s="149"/>
      <c r="Z559" s="149"/>
    </row>
    <row r="560" spans="1:26" ht="14.25" customHeight="1" x14ac:dyDescent="0.35">
      <c r="A560" s="149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  <c r="Z560" s="149"/>
    </row>
    <row r="561" spans="1:26" ht="14.25" customHeight="1" x14ac:dyDescent="0.3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  <c r="Z561" s="149"/>
    </row>
    <row r="562" spans="1:26" ht="14.25" customHeight="1" x14ac:dyDescent="0.35">
      <c r="A562" s="149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  <c r="Z562" s="149"/>
    </row>
    <row r="563" spans="1:26" ht="14.25" customHeight="1" x14ac:dyDescent="0.3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  <c r="Z563" s="149"/>
    </row>
    <row r="564" spans="1:26" ht="14.25" customHeight="1" x14ac:dyDescent="0.35">
      <c r="A564" s="149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  <c r="Z564" s="149"/>
    </row>
    <row r="565" spans="1:26" ht="14.25" customHeight="1" x14ac:dyDescent="0.3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  <c r="Z565" s="149"/>
    </row>
    <row r="566" spans="1:26" ht="14.25" customHeight="1" x14ac:dyDescent="0.35">
      <c r="A566" s="149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  <c r="Z566" s="149"/>
    </row>
    <row r="567" spans="1:26" ht="14.25" customHeight="1" x14ac:dyDescent="0.3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  <c r="Z567" s="149"/>
    </row>
    <row r="568" spans="1:26" ht="14.25" customHeight="1" x14ac:dyDescent="0.35">
      <c r="A568" s="149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  <c r="Z568" s="149"/>
    </row>
    <row r="569" spans="1:26" ht="14.25" customHeight="1" x14ac:dyDescent="0.3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  <c r="Z569" s="149"/>
    </row>
    <row r="570" spans="1:26" ht="14.25" customHeight="1" x14ac:dyDescent="0.35">
      <c r="A570" s="149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  <c r="Y570" s="149"/>
      <c r="Z570" s="149"/>
    </row>
    <row r="571" spans="1:26" ht="14.25" customHeight="1" x14ac:dyDescent="0.3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  <c r="Z571" s="149"/>
    </row>
    <row r="572" spans="1:26" ht="14.25" customHeight="1" x14ac:dyDescent="0.35">
      <c r="A572" s="149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  <c r="Z572" s="149"/>
    </row>
    <row r="573" spans="1:26" ht="14.25" customHeight="1" x14ac:dyDescent="0.3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  <c r="Z573" s="149"/>
    </row>
    <row r="574" spans="1:26" ht="14.25" customHeight="1" x14ac:dyDescent="0.35">
      <c r="A574" s="149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  <c r="Z574" s="149"/>
    </row>
    <row r="575" spans="1:26" ht="14.25" customHeight="1" x14ac:dyDescent="0.3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  <c r="W575" s="149"/>
      <c r="X575" s="149"/>
      <c r="Y575" s="149"/>
      <c r="Z575" s="149"/>
    </row>
    <row r="576" spans="1:26" ht="14.25" customHeight="1" x14ac:dyDescent="0.35">
      <c r="A576" s="149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  <c r="Z576" s="149"/>
    </row>
    <row r="577" spans="1:26" ht="14.25" customHeight="1" x14ac:dyDescent="0.3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  <c r="W577" s="149"/>
      <c r="X577" s="149"/>
      <c r="Y577" s="149"/>
      <c r="Z577" s="149"/>
    </row>
    <row r="578" spans="1:26" ht="14.25" customHeight="1" x14ac:dyDescent="0.35">
      <c r="A578" s="149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  <c r="Z578" s="149"/>
    </row>
    <row r="579" spans="1:26" ht="14.25" customHeight="1" x14ac:dyDescent="0.3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</row>
    <row r="580" spans="1:26" ht="14.25" customHeight="1" x14ac:dyDescent="0.35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  <c r="Z580" s="149"/>
    </row>
    <row r="581" spans="1:26" ht="14.25" customHeight="1" x14ac:dyDescent="0.3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  <c r="Z581" s="149"/>
    </row>
    <row r="582" spans="1:26" ht="14.25" customHeight="1" x14ac:dyDescent="0.35">
      <c r="A582" s="149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</row>
    <row r="583" spans="1:26" ht="14.25" customHeight="1" x14ac:dyDescent="0.3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  <c r="Z583" s="149"/>
    </row>
    <row r="584" spans="1:26" ht="14.25" customHeight="1" x14ac:dyDescent="0.35">
      <c r="A584" s="149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  <c r="Z584" s="149"/>
    </row>
    <row r="585" spans="1:26" ht="14.25" customHeight="1" x14ac:dyDescent="0.3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  <c r="Z585" s="149"/>
    </row>
    <row r="586" spans="1:26" ht="14.25" customHeight="1" x14ac:dyDescent="0.35">
      <c r="A586" s="149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  <c r="Z586" s="149"/>
    </row>
    <row r="587" spans="1:26" ht="14.25" customHeight="1" x14ac:dyDescent="0.3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  <c r="Z587" s="149"/>
    </row>
    <row r="588" spans="1:26" ht="14.25" customHeight="1" x14ac:dyDescent="0.35">
      <c r="A588" s="149"/>
      <c r="B588" s="149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  <c r="Z588" s="149"/>
    </row>
    <row r="589" spans="1:26" ht="14.25" customHeight="1" x14ac:dyDescent="0.3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  <c r="Z589" s="149"/>
    </row>
    <row r="590" spans="1:26" ht="14.25" customHeight="1" x14ac:dyDescent="0.35">
      <c r="A590" s="149"/>
      <c r="B590" s="149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  <c r="Z590" s="149"/>
    </row>
    <row r="591" spans="1:26" ht="14.25" customHeight="1" x14ac:dyDescent="0.3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  <c r="Z591" s="149"/>
    </row>
    <row r="592" spans="1:26" ht="14.25" customHeight="1" x14ac:dyDescent="0.35">
      <c r="A592" s="149"/>
      <c r="B592" s="149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49"/>
      <c r="U592" s="149"/>
      <c r="V592" s="149"/>
      <c r="W592" s="149"/>
      <c r="X592" s="149"/>
      <c r="Y592" s="149"/>
      <c r="Z592" s="149"/>
    </row>
    <row r="593" spans="1:26" ht="14.25" customHeight="1" x14ac:dyDescent="0.3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  <c r="Z593" s="149"/>
    </row>
    <row r="594" spans="1:26" ht="14.25" customHeight="1" x14ac:dyDescent="0.35">
      <c r="A594" s="149"/>
      <c r="B594" s="149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49"/>
      <c r="V594" s="149"/>
      <c r="W594" s="149"/>
      <c r="X594" s="149"/>
      <c r="Y594" s="149"/>
      <c r="Z594" s="149"/>
    </row>
    <row r="595" spans="1:26" ht="14.25" customHeight="1" x14ac:dyDescent="0.3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  <c r="Z595" s="149"/>
    </row>
    <row r="596" spans="1:26" ht="14.25" customHeight="1" x14ac:dyDescent="0.35">
      <c r="A596" s="149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/>
      <c r="Z596" s="149"/>
    </row>
    <row r="597" spans="1:26" ht="14.25" customHeight="1" x14ac:dyDescent="0.3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  <c r="Z597" s="149"/>
    </row>
    <row r="598" spans="1:26" ht="14.25" customHeight="1" x14ac:dyDescent="0.35">
      <c r="A598" s="149"/>
      <c r="B598" s="149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  <c r="Z598" s="149"/>
    </row>
    <row r="599" spans="1:26" ht="14.25" customHeight="1" x14ac:dyDescent="0.3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49"/>
      <c r="U599" s="149"/>
      <c r="V599" s="149"/>
      <c r="W599" s="149"/>
      <c r="X599" s="149"/>
      <c r="Y599" s="149"/>
      <c r="Z599" s="149"/>
    </row>
    <row r="600" spans="1:26" ht="14.25" customHeight="1" x14ac:dyDescent="0.35">
      <c r="A600" s="149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49"/>
      <c r="U600" s="149"/>
      <c r="V600" s="149"/>
      <c r="W600" s="149"/>
      <c r="X600" s="149"/>
      <c r="Y600" s="149"/>
      <c r="Z600" s="149"/>
    </row>
    <row r="601" spans="1:26" ht="14.25" customHeight="1" x14ac:dyDescent="0.3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49"/>
      <c r="U601" s="149"/>
      <c r="V601" s="149"/>
      <c r="W601" s="149"/>
      <c r="X601" s="149"/>
      <c r="Y601" s="149"/>
      <c r="Z601" s="149"/>
    </row>
    <row r="602" spans="1:26" ht="14.25" customHeight="1" x14ac:dyDescent="0.35">
      <c r="A602" s="149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49"/>
      <c r="U602" s="149"/>
      <c r="V602" s="149"/>
      <c r="W602" s="149"/>
      <c r="X602" s="149"/>
      <c r="Y602" s="149"/>
      <c r="Z602" s="149"/>
    </row>
    <row r="603" spans="1:26" ht="14.25" customHeight="1" x14ac:dyDescent="0.3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49"/>
      <c r="U603" s="149"/>
      <c r="V603" s="149"/>
      <c r="W603" s="149"/>
      <c r="X603" s="149"/>
      <c r="Y603" s="149"/>
      <c r="Z603" s="149"/>
    </row>
    <row r="604" spans="1:26" ht="14.25" customHeight="1" x14ac:dyDescent="0.35">
      <c r="A604" s="149"/>
      <c r="B604" s="149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49"/>
      <c r="U604" s="149"/>
      <c r="V604" s="149"/>
      <c r="W604" s="149"/>
      <c r="X604" s="149"/>
      <c r="Y604" s="149"/>
      <c r="Z604" s="149"/>
    </row>
    <row r="605" spans="1:26" ht="14.25" customHeight="1" x14ac:dyDescent="0.3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49"/>
      <c r="U605" s="149"/>
      <c r="V605" s="149"/>
      <c r="W605" s="149"/>
      <c r="X605" s="149"/>
      <c r="Y605" s="149"/>
      <c r="Z605" s="149"/>
    </row>
    <row r="606" spans="1:26" ht="14.25" customHeight="1" x14ac:dyDescent="0.35">
      <c r="A606" s="149"/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49"/>
      <c r="U606" s="149"/>
      <c r="V606" s="149"/>
      <c r="W606" s="149"/>
      <c r="X606" s="149"/>
      <c r="Y606" s="149"/>
      <c r="Z606" s="149"/>
    </row>
    <row r="607" spans="1:26" ht="14.25" customHeight="1" x14ac:dyDescent="0.3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49"/>
      <c r="U607" s="149"/>
      <c r="V607" s="149"/>
      <c r="W607" s="149"/>
      <c r="X607" s="149"/>
      <c r="Y607" s="149"/>
      <c r="Z607" s="149"/>
    </row>
    <row r="608" spans="1:26" ht="14.25" customHeight="1" x14ac:dyDescent="0.35">
      <c r="A608" s="149"/>
      <c r="B608" s="149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49"/>
      <c r="U608" s="149"/>
      <c r="V608" s="149"/>
      <c r="W608" s="149"/>
      <c r="X608" s="149"/>
      <c r="Y608" s="149"/>
      <c r="Z608" s="149"/>
    </row>
    <row r="609" spans="1:26" ht="14.25" customHeight="1" x14ac:dyDescent="0.3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49"/>
      <c r="U609" s="149"/>
      <c r="V609" s="149"/>
      <c r="W609" s="149"/>
      <c r="X609" s="149"/>
      <c r="Y609" s="149"/>
      <c r="Z609" s="149"/>
    </row>
    <row r="610" spans="1:26" ht="14.25" customHeight="1" x14ac:dyDescent="0.35">
      <c r="A610" s="149"/>
      <c r="B610" s="149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49"/>
      <c r="U610" s="149"/>
      <c r="V610" s="149"/>
      <c r="W610" s="149"/>
      <c r="X610" s="149"/>
      <c r="Y610" s="149"/>
      <c r="Z610" s="149"/>
    </row>
    <row r="611" spans="1:26" ht="14.25" customHeight="1" x14ac:dyDescent="0.3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  <c r="Z611" s="149"/>
    </row>
    <row r="612" spans="1:26" ht="14.25" customHeight="1" x14ac:dyDescent="0.35">
      <c r="A612" s="149"/>
      <c r="B612" s="149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49"/>
      <c r="U612" s="149"/>
      <c r="V612" s="149"/>
      <c r="W612" s="149"/>
      <c r="X612" s="149"/>
      <c r="Y612" s="149"/>
      <c r="Z612" s="149"/>
    </row>
    <row r="613" spans="1:26" ht="14.25" customHeight="1" x14ac:dyDescent="0.3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49"/>
      <c r="U613" s="149"/>
      <c r="V613" s="149"/>
      <c r="W613" s="149"/>
      <c r="X613" s="149"/>
      <c r="Y613" s="149"/>
      <c r="Z613" s="149"/>
    </row>
    <row r="614" spans="1:26" ht="14.25" customHeight="1" x14ac:dyDescent="0.35">
      <c r="A614" s="149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49"/>
      <c r="U614" s="149"/>
      <c r="V614" s="149"/>
      <c r="W614" s="149"/>
      <c r="X614" s="149"/>
      <c r="Y614" s="149"/>
      <c r="Z614" s="149"/>
    </row>
    <row r="615" spans="1:26" ht="14.25" customHeight="1" x14ac:dyDescent="0.3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49"/>
      <c r="U615" s="149"/>
      <c r="V615" s="149"/>
      <c r="W615" s="149"/>
      <c r="X615" s="149"/>
      <c r="Y615" s="149"/>
      <c r="Z615" s="149"/>
    </row>
    <row r="616" spans="1:26" ht="14.25" customHeight="1" x14ac:dyDescent="0.35">
      <c r="A616" s="149"/>
      <c r="B616" s="149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49"/>
      <c r="U616" s="149"/>
      <c r="V616" s="149"/>
      <c r="W616" s="149"/>
      <c r="X616" s="149"/>
      <c r="Y616" s="149"/>
      <c r="Z616" s="149"/>
    </row>
    <row r="617" spans="1:26" ht="14.25" customHeight="1" x14ac:dyDescent="0.3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  <c r="Z617" s="149"/>
    </row>
    <row r="618" spans="1:26" ht="14.25" customHeight="1" x14ac:dyDescent="0.35">
      <c r="A618" s="149"/>
      <c r="B618" s="149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49"/>
      <c r="U618" s="149"/>
      <c r="V618" s="149"/>
      <c r="W618" s="149"/>
      <c r="X618" s="149"/>
      <c r="Y618" s="149"/>
      <c r="Z618" s="149"/>
    </row>
    <row r="619" spans="1:26" ht="14.25" customHeight="1" x14ac:dyDescent="0.3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49"/>
      <c r="U619" s="149"/>
      <c r="V619" s="149"/>
      <c r="W619" s="149"/>
      <c r="X619" s="149"/>
      <c r="Y619" s="149"/>
      <c r="Z619" s="149"/>
    </row>
    <row r="620" spans="1:26" ht="14.25" customHeight="1" x14ac:dyDescent="0.35">
      <c r="A620" s="149"/>
      <c r="B620" s="149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49"/>
      <c r="U620" s="149"/>
      <c r="V620" s="149"/>
      <c r="W620" s="149"/>
      <c r="X620" s="149"/>
      <c r="Y620" s="149"/>
      <c r="Z620" s="149"/>
    </row>
    <row r="621" spans="1:26" ht="14.25" customHeight="1" x14ac:dyDescent="0.3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49"/>
      <c r="U621" s="149"/>
      <c r="V621" s="149"/>
      <c r="W621" s="149"/>
      <c r="X621" s="149"/>
      <c r="Y621" s="149"/>
      <c r="Z621" s="149"/>
    </row>
    <row r="622" spans="1:26" ht="14.25" customHeight="1" x14ac:dyDescent="0.35">
      <c r="A622" s="149"/>
      <c r="B622" s="149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49"/>
      <c r="U622" s="149"/>
      <c r="V622" s="149"/>
      <c r="W622" s="149"/>
      <c r="X622" s="149"/>
      <c r="Y622" s="149"/>
      <c r="Z622" s="149"/>
    </row>
    <row r="623" spans="1:26" ht="14.25" customHeight="1" x14ac:dyDescent="0.3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49"/>
      <c r="U623" s="149"/>
      <c r="V623" s="149"/>
      <c r="W623" s="149"/>
      <c r="X623" s="149"/>
      <c r="Y623" s="149"/>
      <c r="Z623" s="149"/>
    </row>
    <row r="624" spans="1:26" ht="14.25" customHeight="1" x14ac:dyDescent="0.35">
      <c r="A624" s="149"/>
      <c r="B624" s="149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49"/>
      <c r="U624" s="149"/>
      <c r="V624" s="149"/>
      <c r="W624" s="149"/>
      <c r="X624" s="149"/>
      <c r="Y624" s="149"/>
      <c r="Z624" s="149"/>
    </row>
    <row r="625" spans="1:26" ht="14.25" customHeight="1" x14ac:dyDescent="0.3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49"/>
      <c r="U625" s="149"/>
      <c r="V625" s="149"/>
      <c r="W625" s="149"/>
      <c r="X625" s="149"/>
      <c r="Y625" s="149"/>
      <c r="Z625" s="149"/>
    </row>
    <row r="626" spans="1:26" ht="14.25" customHeight="1" x14ac:dyDescent="0.35">
      <c r="A626" s="149"/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49"/>
      <c r="U626" s="149"/>
      <c r="V626" s="149"/>
      <c r="W626" s="149"/>
      <c r="X626" s="149"/>
      <c r="Y626" s="149"/>
      <c r="Z626" s="149"/>
    </row>
    <row r="627" spans="1:26" ht="14.25" customHeight="1" x14ac:dyDescent="0.3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49"/>
      <c r="U627" s="149"/>
      <c r="V627" s="149"/>
      <c r="W627" s="149"/>
      <c r="X627" s="149"/>
      <c r="Y627" s="149"/>
      <c r="Z627" s="149"/>
    </row>
    <row r="628" spans="1:26" ht="14.25" customHeight="1" x14ac:dyDescent="0.35">
      <c r="A628" s="149"/>
      <c r="B628" s="149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49"/>
      <c r="U628" s="149"/>
      <c r="V628" s="149"/>
      <c r="W628" s="149"/>
      <c r="X628" s="149"/>
      <c r="Y628" s="149"/>
      <c r="Z628" s="149"/>
    </row>
    <row r="629" spans="1:26" ht="14.25" customHeight="1" x14ac:dyDescent="0.3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49"/>
      <c r="U629" s="149"/>
      <c r="V629" s="149"/>
      <c r="W629" s="149"/>
      <c r="X629" s="149"/>
      <c r="Y629" s="149"/>
      <c r="Z629" s="149"/>
    </row>
    <row r="630" spans="1:26" ht="14.25" customHeight="1" x14ac:dyDescent="0.35">
      <c r="A630" s="149"/>
      <c r="B630" s="149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  <c r="Y630" s="149"/>
      <c r="Z630" s="149"/>
    </row>
    <row r="631" spans="1:26" ht="14.25" customHeight="1" x14ac:dyDescent="0.3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  <c r="Z631" s="149"/>
    </row>
    <row r="632" spans="1:26" ht="14.25" customHeight="1" x14ac:dyDescent="0.35">
      <c r="A632" s="149"/>
      <c r="B632" s="149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  <c r="Z632" s="149"/>
    </row>
    <row r="633" spans="1:26" ht="14.25" customHeight="1" x14ac:dyDescent="0.3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  <c r="Z633" s="149"/>
    </row>
    <row r="634" spans="1:26" ht="14.25" customHeight="1" x14ac:dyDescent="0.35">
      <c r="A634" s="149"/>
      <c r="B634" s="149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  <c r="Z634" s="149"/>
    </row>
    <row r="635" spans="1:26" ht="14.25" customHeight="1" x14ac:dyDescent="0.3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  <c r="Z635" s="149"/>
    </row>
    <row r="636" spans="1:26" ht="14.25" customHeight="1" x14ac:dyDescent="0.35">
      <c r="A636" s="149"/>
      <c r="B636" s="149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  <c r="Z636" s="149"/>
    </row>
    <row r="637" spans="1:26" ht="14.25" customHeight="1" x14ac:dyDescent="0.3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49"/>
      <c r="U637" s="149"/>
      <c r="V637" s="149"/>
      <c r="W637" s="149"/>
      <c r="X637" s="149"/>
      <c r="Y637" s="149"/>
      <c r="Z637" s="149"/>
    </row>
    <row r="638" spans="1:26" ht="14.25" customHeight="1" x14ac:dyDescent="0.35">
      <c r="A638" s="149"/>
      <c r="B638" s="149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49"/>
      <c r="U638" s="149"/>
      <c r="V638" s="149"/>
      <c r="W638" s="149"/>
      <c r="X638" s="149"/>
      <c r="Y638" s="149"/>
      <c r="Z638" s="149"/>
    </row>
    <row r="639" spans="1:26" ht="14.25" customHeight="1" x14ac:dyDescent="0.3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49"/>
      <c r="U639" s="149"/>
      <c r="V639" s="149"/>
      <c r="W639" s="149"/>
      <c r="X639" s="149"/>
      <c r="Y639" s="149"/>
      <c r="Z639" s="149"/>
    </row>
    <row r="640" spans="1:26" ht="14.25" customHeight="1" x14ac:dyDescent="0.35">
      <c r="A640" s="149"/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49"/>
      <c r="U640" s="149"/>
      <c r="V640" s="149"/>
      <c r="W640" s="149"/>
      <c r="X640" s="149"/>
      <c r="Y640" s="149"/>
      <c r="Z640" s="149"/>
    </row>
    <row r="641" spans="1:26" ht="14.25" customHeight="1" x14ac:dyDescent="0.3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49"/>
      <c r="U641" s="149"/>
      <c r="V641" s="149"/>
      <c r="W641" s="149"/>
      <c r="X641" s="149"/>
      <c r="Y641" s="149"/>
      <c r="Z641" s="149"/>
    </row>
    <row r="642" spans="1:26" ht="14.25" customHeight="1" x14ac:dyDescent="0.35">
      <c r="A642" s="149"/>
      <c r="B642" s="149"/>
      <c r="C642" s="149"/>
      <c r="D642" s="149"/>
      <c r="E642" s="149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49"/>
      <c r="U642" s="149"/>
      <c r="V642" s="149"/>
      <c r="W642" s="149"/>
      <c r="X642" s="149"/>
      <c r="Y642" s="149"/>
      <c r="Z642" s="149"/>
    </row>
    <row r="643" spans="1:26" ht="14.25" customHeight="1" x14ac:dyDescent="0.3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49"/>
      <c r="U643" s="149"/>
      <c r="V643" s="149"/>
      <c r="W643" s="149"/>
      <c r="X643" s="149"/>
      <c r="Y643" s="149"/>
      <c r="Z643" s="149"/>
    </row>
    <row r="644" spans="1:26" ht="14.25" customHeight="1" x14ac:dyDescent="0.35">
      <c r="A644" s="149"/>
      <c r="B644" s="149"/>
      <c r="C644" s="149"/>
      <c r="D644" s="149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49"/>
      <c r="U644" s="149"/>
      <c r="V644" s="149"/>
      <c r="W644" s="149"/>
      <c r="X644" s="149"/>
      <c r="Y644" s="149"/>
      <c r="Z644" s="149"/>
    </row>
    <row r="645" spans="1:26" ht="14.25" customHeight="1" x14ac:dyDescent="0.3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49"/>
      <c r="U645" s="149"/>
      <c r="V645" s="149"/>
      <c r="W645" s="149"/>
      <c r="X645" s="149"/>
      <c r="Y645" s="149"/>
      <c r="Z645" s="149"/>
    </row>
    <row r="646" spans="1:26" ht="14.25" customHeight="1" x14ac:dyDescent="0.35">
      <c r="A646" s="149"/>
      <c r="B646" s="149"/>
      <c r="C646" s="149"/>
      <c r="D646" s="149"/>
      <c r="E646" s="149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49"/>
      <c r="U646" s="149"/>
      <c r="V646" s="149"/>
      <c r="W646" s="149"/>
      <c r="X646" s="149"/>
      <c r="Y646" s="149"/>
      <c r="Z646" s="149"/>
    </row>
    <row r="647" spans="1:26" ht="14.25" customHeight="1" x14ac:dyDescent="0.3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49"/>
      <c r="U647" s="149"/>
      <c r="V647" s="149"/>
      <c r="W647" s="149"/>
      <c r="X647" s="149"/>
      <c r="Y647" s="149"/>
      <c r="Z647" s="149"/>
    </row>
    <row r="648" spans="1:26" ht="14.25" customHeight="1" x14ac:dyDescent="0.35">
      <c r="A648" s="149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49"/>
      <c r="U648" s="149"/>
      <c r="V648" s="149"/>
      <c r="W648" s="149"/>
      <c r="X648" s="149"/>
      <c r="Y648" s="149"/>
      <c r="Z648" s="149"/>
    </row>
    <row r="649" spans="1:26" ht="14.25" customHeight="1" x14ac:dyDescent="0.3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49"/>
      <c r="U649" s="149"/>
      <c r="V649" s="149"/>
      <c r="W649" s="149"/>
      <c r="X649" s="149"/>
      <c r="Y649" s="149"/>
      <c r="Z649" s="149"/>
    </row>
    <row r="650" spans="1:26" ht="14.25" customHeight="1" x14ac:dyDescent="0.35">
      <c r="A650" s="149"/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49"/>
      <c r="U650" s="149"/>
      <c r="V650" s="149"/>
      <c r="W650" s="149"/>
      <c r="X650" s="149"/>
      <c r="Y650" s="149"/>
      <c r="Z650" s="149"/>
    </row>
    <row r="651" spans="1:26" ht="14.25" customHeight="1" x14ac:dyDescent="0.3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49"/>
      <c r="U651" s="149"/>
      <c r="V651" s="149"/>
      <c r="W651" s="149"/>
      <c r="X651" s="149"/>
      <c r="Y651" s="149"/>
      <c r="Z651" s="149"/>
    </row>
    <row r="652" spans="1:26" ht="14.25" customHeight="1" x14ac:dyDescent="0.35">
      <c r="A652" s="149"/>
      <c r="B652" s="149"/>
      <c r="C652" s="149"/>
      <c r="D652" s="149"/>
      <c r="E652" s="149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49"/>
      <c r="U652" s="149"/>
      <c r="V652" s="149"/>
      <c r="W652" s="149"/>
      <c r="X652" s="149"/>
      <c r="Y652" s="149"/>
      <c r="Z652" s="149"/>
    </row>
    <row r="653" spans="1:26" ht="14.25" customHeight="1" x14ac:dyDescent="0.3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49"/>
      <c r="U653" s="149"/>
      <c r="V653" s="149"/>
      <c r="W653" s="149"/>
      <c r="X653" s="149"/>
      <c r="Y653" s="149"/>
      <c r="Z653" s="149"/>
    </row>
    <row r="654" spans="1:26" ht="14.25" customHeight="1" x14ac:dyDescent="0.35">
      <c r="A654" s="149"/>
      <c r="B654" s="149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49"/>
      <c r="U654" s="149"/>
      <c r="V654" s="149"/>
      <c r="W654" s="149"/>
      <c r="X654" s="149"/>
      <c r="Y654" s="149"/>
      <c r="Z654" s="149"/>
    </row>
    <row r="655" spans="1:26" ht="14.25" customHeight="1" x14ac:dyDescent="0.3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49"/>
      <c r="U655" s="149"/>
      <c r="V655" s="149"/>
      <c r="W655" s="149"/>
      <c r="X655" s="149"/>
      <c r="Y655" s="149"/>
      <c r="Z655" s="149"/>
    </row>
    <row r="656" spans="1:26" ht="14.25" customHeight="1" x14ac:dyDescent="0.35">
      <c r="A656" s="149"/>
      <c r="B656" s="149"/>
      <c r="C656" s="149"/>
      <c r="D656" s="149"/>
      <c r="E656" s="149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49"/>
      <c r="U656" s="149"/>
      <c r="V656" s="149"/>
      <c r="W656" s="149"/>
      <c r="X656" s="149"/>
      <c r="Y656" s="149"/>
      <c r="Z656" s="149"/>
    </row>
    <row r="657" spans="1:26" ht="14.25" customHeight="1" x14ac:dyDescent="0.3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49"/>
      <c r="U657" s="149"/>
      <c r="V657" s="149"/>
      <c r="W657" s="149"/>
      <c r="X657" s="149"/>
      <c r="Y657" s="149"/>
      <c r="Z657" s="149"/>
    </row>
    <row r="658" spans="1:26" ht="14.25" customHeight="1" x14ac:dyDescent="0.35">
      <c r="A658" s="149"/>
      <c r="B658" s="149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49"/>
      <c r="U658" s="149"/>
      <c r="V658" s="149"/>
      <c r="W658" s="149"/>
      <c r="X658" s="149"/>
      <c r="Y658" s="149"/>
      <c r="Z658" s="149"/>
    </row>
    <row r="659" spans="1:26" ht="14.25" customHeight="1" x14ac:dyDescent="0.3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49"/>
      <c r="U659" s="149"/>
      <c r="V659" s="149"/>
      <c r="W659" s="149"/>
      <c r="X659" s="149"/>
      <c r="Y659" s="149"/>
      <c r="Z659" s="149"/>
    </row>
    <row r="660" spans="1:26" ht="14.25" customHeight="1" x14ac:dyDescent="0.35">
      <c r="A660" s="149"/>
      <c r="B660" s="149"/>
      <c r="C660" s="149"/>
      <c r="D660" s="149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49"/>
      <c r="U660" s="149"/>
      <c r="V660" s="149"/>
      <c r="W660" s="149"/>
      <c r="X660" s="149"/>
      <c r="Y660" s="149"/>
      <c r="Z660" s="149"/>
    </row>
    <row r="661" spans="1:26" ht="14.25" customHeight="1" x14ac:dyDescent="0.3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49"/>
      <c r="U661" s="149"/>
      <c r="V661" s="149"/>
      <c r="W661" s="149"/>
      <c r="X661" s="149"/>
      <c r="Y661" s="149"/>
      <c r="Z661" s="149"/>
    </row>
    <row r="662" spans="1:26" ht="14.25" customHeight="1" x14ac:dyDescent="0.35">
      <c r="A662" s="149"/>
      <c r="B662" s="149"/>
      <c r="C662" s="149"/>
      <c r="D662" s="149"/>
      <c r="E662" s="149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49"/>
      <c r="U662" s="149"/>
      <c r="V662" s="149"/>
      <c r="W662" s="149"/>
      <c r="X662" s="149"/>
      <c r="Y662" s="149"/>
      <c r="Z662" s="149"/>
    </row>
    <row r="663" spans="1:26" ht="14.25" customHeight="1" x14ac:dyDescent="0.3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49"/>
      <c r="U663" s="149"/>
      <c r="V663" s="149"/>
      <c r="W663" s="149"/>
      <c r="X663" s="149"/>
      <c r="Y663" s="149"/>
      <c r="Z663" s="149"/>
    </row>
    <row r="664" spans="1:26" ht="14.25" customHeight="1" x14ac:dyDescent="0.35">
      <c r="A664" s="149"/>
      <c r="B664" s="149"/>
      <c r="C664" s="149"/>
      <c r="D664" s="149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  <c r="Z664" s="149"/>
    </row>
    <row r="665" spans="1:26" ht="14.25" customHeight="1" x14ac:dyDescent="0.3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  <c r="Z665" s="149"/>
    </row>
    <row r="666" spans="1:26" ht="14.25" customHeight="1" x14ac:dyDescent="0.35">
      <c r="A666" s="149"/>
      <c r="B666" s="149"/>
      <c r="C666" s="149"/>
      <c r="D666" s="149"/>
      <c r="E666" s="149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  <c r="Z666" s="149"/>
    </row>
    <row r="667" spans="1:26" ht="14.25" customHeight="1" x14ac:dyDescent="0.3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  <c r="Z667" s="149"/>
    </row>
    <row r="668" spans="1:26" ht="14.25" customHeight="1" x14ac:dyDescent="0.35">
      <c r="A668" s="149"/>
      <c r="B668" s="149"/>
      <c r="C668" s="149"/>
      <c r="D668" s="149"/>
      <c r="E668" s="149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49"/>
      <c r="U668" s="149"/>
      <c r="V668" s="149"/>
      <c r="W668" s="149"/>
      <c r="X668" s="149"/>
      <c r="Y668" s="149"/>
      <c r="Z668" s="149"/>
    </row>
    <row r="669" spans="1:26" ht="14.25" customHeight="1" x14ac:dyDescent="0.3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49"/>
      <c r="U669" s="149"/>
      <c r="V669" s="149"/>
      <c r="W669" s="149"/>
      <c r="X669" s="149"/>
      <c r="Y669" s="149"/>
      <c r="Z669" s="149"/>
    </row>
    <row r="670" spans="1:26" ht="14.25" customHeight="1" x14ac:dyDescent="0.35">
      <c r="A670" s="149"/>
      <c r="B670" s="149"/>
      <c r="C670" s="149"/>
      <c r="D670" s="149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  <c r="Z670" s="149"/>
    </row>
    <row r="671" spans="1:26" ht="14.25" customHeight="1" x14ac:dyDescent="0.3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49"/>
      <c r="U671" s="149"/>
      <c r="V671" s="149"/>
      <c r="W671" s="149"/>
      <c r="X671" s="149"/>
      <c r="Y671" s="149"/>
      <c r="Z671" s="149"/>
    </row>
    <row r="672" spans="1:26" ht="14.25" customHeight="1" x14ac:dyDescent="0.35">
      <c r="A672" s="149"/>
      <c r="B672" s="149"/>
      <c r="C672" s="149"/>
      <c r="D672" s="149"/>
      <c r="E672" s="149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  <c r="Z672" s="149"/>
    </row>
    <row r="673" spans="1:26" ht="14.25" customHeight="1" x14ac:dyDescent="0.3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49"/>
      <c r="U673" s="149"/>
      <c r="V673" s="149"/>
      <c r="W673" s="149"/>
      <c r="X673" s="149"/>
      <c r="Y673" s="149"/>
      <c r="Z673" s="149"/>
    </row>
    <row r="674" spans="1:26" ht="14.25" customHeight="1" x14ac:dyDescent="0.35">
      <c r="A674" s="149"/>
      <c r="B674" s="149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49"/>
      <c r="U674" s="149"/>
      <c r="V674" s="149"/>
      <c r="W674" s="149"/>
      <c r="X674" s="149"/>
      <c r="Y674" s="149"/>
      <c r="Z674" s="149"/>
    </row>
    <row r="675" spans="1:26" ht="14.25" customHeight="1" x14ac:dyDescent="0.3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49"/>
      <c r="U675" s="149"/>
      <c r="V675" s="149"/>
      <c r="W675" s="149"/>
      <c r="X675" s="149"/>
      <c r="Y675" s="149"/>
      <c r="Z675" s="149"/>
    </row>
    <row r="676" spans="1:26" ht="14.25" customHeight="1" x14ac:dyDescent="0.35">
      <c r="A676" s="149"/>
      <c r="B676" s="149"/>
      <c r="C676" s="149"/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49"/>
      <c r="U676" s="149"/>
      <c r="V676" s="149"/>
      <c r="W676" s="149"/>
      <c r="X676" s="149"/>
      <c r="Y676" s="149"/>
      <c r="Z676" s="149"/>
    </row>
    <row r="677" spans="1:26" ht="14.25" customHeight="1" x14ac:dyDescent="0.3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  <c r="Z677" s="149"/>
    </row>
    <row r="678" spans="1:26" ht="14.25" customHeight="1" x14ac:dyDescent="0.35">
      <c r="A678" s="149"/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  <c r="Z678" s="149"/>
    </row>
    <row r="679" spans="1:26" ht="14.25" customHeight="1" x14ac:dyDescent="0.3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  <c r="Z679" s="149"/>
    </row>
    <row r="680" spans="1:26" ht="14.25" customHeight="1" x14ac:dyDescent="0.35">
      <c r="A680" s="149"/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  <c r="Z680" s="149"/>
    </row>
    <row r="681" spans="1:26" ht="14.25" customHeight="1" x14ac:dyDescent="0.3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49"/>
      <c r="U681" s="149"/>
      <c r="V681" s="149"/>
      <c r="W681" s="149"/>
      <c r="X681" s="149"/>
      <c r="Y681" s="149"/>
      <c r="Z681" s="149"/>
    </row>
    <row r="682" spans="1:26" ht="14.25" customHeight="1" x14ac:dyDescent="0.35">
      <c r="A682" s="149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49"/>
      <c r="U682" s="149"/>
      <c r="V682" s="149"/>
      <c r="W682" s="149"/>
      <c r="X682" s="149"/>
      <c r="Y682" s="149"/>
      <c r="Z682" s="149"/>
    </row>
    <row r="683" spans="1:26" ht="14.25" customHeight="1" x14ac:dyDescent="0.3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49"/>
      <c r="U683" s="149"/>
      <c r="V683" s="149"/>
      <c r="W683" s="149"/>
      <c r="X683" s="149"/>
      <c r="Y683" s="149"/>
      <c r="Z683" s="149"/>
    </row>
    <row r="684" spans="1:26" ht="14.25" customHeight="1" x14ac:dyDescent="0.35">
      <c r="A684" s="149"/>
      <c r="B684" s="149"/>
      <c r="C684" s="149"/>
      <c r="D684" s="149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49"/>
      <c r="U684" s="149"/>
      <c r="V684" s="149"/>
      <c r="W684" s="149"/>
      <c r="X684" s="149"/>
      <c r="Y684" s="149"/>
      <c r="Z684" s="149"/>
    </row>
    <row r="685" spans="1:26" ht="14.25" customHeight="1" x14ac:dyDescent="0.3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49"/>
      <c r="U685" s="149"/>
      <c r="V685" s="149"/>
      <c r="W685" s="149"/>
      <c r="X685" s="149"/>
      <c r="Y685" s="149"/>
      <c r="Z685" s="149"/>
    </row>
    <row r="686" spans="1:26" ht="14.25" customHeight="1" x14ac:dyDescent="0.35">
      <c r="A686" s="149"/>
      <c r="B686" s="149"/>
      <c r="C686" s="149"/>
      <c r="D686" s="149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49"/>
      <c r="U686" s="149"/>
      <c r="V686" s="149"/>
      <c r="W686" s="149"/>
      <c r="X686" s="149"/>
      <c r="Y686" s="149"/>
      <c r="Z686" s="149"/>
    </row>
    <row r="687" spans="1:26" ht="14.25" customHeight="1" x14ac:dyDescent="0.3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49"/>
      <c r="U687" s="149"/>
      <c r="V687" s="149"/>
      <c r="W687" s="149"/>
      <c r="X687" s="149"/>
      <c r="Y687" s="149"/>
      <c r="Z687" s="149"/>
    </row>
    <row r="688" spans="1:26" ht="14.25" customHeight="1" x14ac:dyDescent="0.35">
      <c r="A688" s="149"/>
      <c r="B688" s="149"/>
      <c r="C688" s="149"/>
      <c r="D688" s="149"/>
      <c r="E688" s="149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  <c r="Z688" s="149"/>
    </row>
    <row r="689" spans="1:26" ht="14.25" customHeight="1" x14ac:dyDescent="0.3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49"/>
      <c r="U689" s="149"/>
      <c r="V689" s="149"/>
      <c r="W689" s="149"/>
      <c r="X689" s="149"/>
      <c r="Y689" s="149"/>
      <c r="Z689" s="149"/>
    </row>
    <row r="690" spans="1:26" ht="14.25" customHeight="1" x14ac:dyDescent="0.35">
      <c r="A690" s="149"/>
      <c r="B690" s="149"/>
      <c r="C690" s="149"/>
      <c r="D690" s="149"/>
      <c r="E690" s="149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49"/>
      <c r="U690" s="149"/>
      <c r="V690" s="149"/>
      <c r="W690" s="149"/>
      <c r="X690" s="149"/>
      <c r="Y690" s="149"/>
      <c r="Z690" s="149"/>
    </row>
    <row r="691" spans="1:26" ht="14.25" customHeight="1" x14ac:dyDescent="0.3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  <c r="Z691" s="149"/>
    </row>
    <row r="692" spans="1:26" ht="14.25" customHeight="1" x14ac:dyDescent="0.35">
      <c r="A692" s="149"/>
      <c r="B692" s="149"/>
      <c r="C692" s="149"/>
      <c r="D692" s="149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49"/>
      <c r="U692" s="149"/>
      <c r="V692" s="149"/>
      <c r="W692" s="149"/>
      <c r="X692" s="149"/>
      <c r="Y692" s="149"/>
      <c r="Z692" s="149"/>
    </row>
    <row r="693" spans="1:26" ht="14.25" customHeight="1" x14ac:dyDescent="0.3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49"/>
      <c r="U693" s="149"/>
      <c r="V693" s="149"/>
      <c r="W693" s="149"/>
      <c r="X693" s="149"/>
      <c r="Y693" s="149"/>
      <c r="Z693" s="149"/>
    </row>
    <row r="694" spans="1:26" ht="14.25" customHeight="1" x14ac:dyDescent="0.35">
      <c r="A694" s="149"/>
      <c r="B694" s="149"/>
      <c r="C694" s="149"/>
      <c r="D694" s="149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49"/>
      <c r="U694" s="149"/>
      <c r="V694" s="149"/>
      <c r="W694" s="149"/>
      <c r="X694" s="149"/>
      <c r="Y694" s="149"/>
      <c r="Z694" s="149"/>
    </row>
    <row r="695" spans="1:26" ht="14.25" customHeight="1" x14ac:dyDescent="0.3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49"/>
      <c r="U695" s="149"/>
      <c r="V695" s="149"/>
      <c r="W695" s="149"/>
      <c r="X695" s="149"/>
      <c r="Y695" s="149"/>
      <c r="Z695" s="149"/>
    </row>
    <row r="696" spans="1:26" ht="14.25" customHeight="1" x14ac:dyDescent="0.35">
      <c r="A696" s="149"/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49"/>
      <c r="U696" s="149"/>
      <c r="V696" s="149"/>
      <c r="W696" s="149"/>
      <c r="X696" s="149"/>
      <c r="Y696" s="149"/>
      <c r="Z696" s="149"/>
    </row>
    <row r="697" spans="1:26" ht="14.25" customHeight="1" x14ac:dyDescent="0.3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49"/>
      <c r="U697" s="149"/>
      <c r="V697" s="149"/>
      <c r="W697" s="149"/>
      <c r="X697" s="149"/>
      <c r="Y697" s="149"/>
      <c r="Z697" s="149"/>
    </row>
    <row r="698" spans="1:26" ht="14.25" customHeight="1" x14ac:dyDescent="0.35">
      <c r="A698" s="149"/>
      <c r="B698" s="149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49"/>
      <c r="U698" s="149"/>
      <c r="V698" s="149"/>
      <c r="W698" s="149"/>
      <c r="X698" s="149"/>
      <c r="Y698" s="149"/>
      <c r="Z698" s="149"/>
    </row>
    <row r="699" spans="1:26" ht="14.25" customHeight="1" x14ac:dyDescent="0.3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  <c r="Z699" s="149"/>
    </row>
    <row r="700" spans="1:26" ht="14.25" customHeight="1" x14ac:dyDescent="0.35">
      <c r="A700" s="149"/>
      <c r="B700" s="149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  <c r="Z700" s="149"/>
    </row>
    <row r="701" spans="1:26" ht="14.25" customHeight="1" x14ac:dyDescent="0.3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  <c r="Z701" s="149"/>
    </row>
    <row r="702" spans="1:26" ht="14.25" customHeight="1" x14ac:dyDescent="0.35">
      <c r="A702" s="149"/>
      <c r="B702" s="149"/>
      <c r="C702" s="149"/>
      <c r="D702" s="149"/>
      <c r="E702" s="149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  <c r="Z702" s="149"/>
    </row>
    <row r="703" spans="1:26" ht="14.25" customHeight="1" x14ac:dyDescent="0.3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  <c r="Z703" s="149"/>
    </row>
    <row r="704" spans="1:26" ht="14.25" customHeight="1" x14ac:dyDescent="0.35">
      <c r="A704" s="149"/>
      <c r="B704" s="149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  <c r="Z704" s="149"/>
    </row>
    <row r="705" spans="1:26" ht="14.25" customHeight="1" x14ac:dyDescent="0.3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  <c r="Z705" s="149"/>
    </row>
    <row r="706" spans="1:26" ht="14.25" customHeight="1" x14ac:dyDescent="0.35">
      <c r="A706" s="149"/>
      <c r="B706" s="149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</row>
    <row r="707" spans="1:26" ht="14.25" customHeight="1" x14ac:dyDescent="0.3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</row>
    <row r="708" spans="1:26" ht="14.25" customHeight="1" x14ac:dyDescent="0.35">
      <c r="A708" s="149"/>
      <c r="B708" s="149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</row>
    <row r="709" spans="1:26" ht="14.25" customHeight="1" x14ac:dyDescent="0.3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</row>
    <row r="710" spans="1:26" ht="14.25" customHeight="1" x14ac:dyDescent="0.35">
      <c r="A710" s="149"/>
      <c r="B710" s="149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</row>
    <row r="711" spans="1:26" ht="14.25" customHeight="1" x14ac:dyDescent="0.3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  <c r="Z711" s="149"/>
    </row>
    <row r="712" spans="1:26" ht="14.25" customHeight="1" x14ac:dyDescent="0.35">
      <c r="A712" s="149"/>
      <c r="B712" s="149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  <c r="Z712" s="149"/>
    </row>
    <row r="713" spans="1:26" ht="14.25" customHeight="1" x14ac:dyDescent="0.3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  <c r="Z713" s="149"/>
    </row>
    <row r="714" spans="1:26" ht="14.25" customHeight="1" x14ac:dyDescent="0.35">
      <c r="A714" s="149"/>
      <c r="B714" s="149"/>
      <c r="C714" s="149"/>
      <c r="D714" s="149"/>
      <c r="E714" s="149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  <c r="Z714" s="149"/>
    </row>
    <row r="715" spans="1:26" ht="14.25" customHeight="1" x14ac:dyDescent="0.3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  <c r="Z715" s="149"/>
    </row>
    <row r="716" spans="1:26" ht="14.25" customHeight="1" x14ac:dyDescent="0.35">
      <c r="A716" s="149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  <c r="Z716" s="149"/>
    </row>
    <row r="717" spans="1:26" ht="14.25" customHeight="1" x14ac:dyDescent="0.3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  <c r="Z717" s="149"/>
    </row>
    <row r="718" spans="1:26" ht="14.25" customHeight="1" x14ac:dyDescent="0.35">
      <c r="A718" s="149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  <c r="Z718" s="149"/>
    </row>
    <row r="719" spans="1:26" ht="14.25" customHeight="1" x14ac:dyDescent="0.3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  <c r="Z719" s="149"/>
    </row>
    <row r="720" spans="1:26" ht="14.25" customHeight="1" x14ac:dyDescent="0.35">
      <c r="A720" s="149"/>
      <c r="B720" s="149"/>
      <c r="C720" s="149"/>
      <c r="D720" s="149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  <c r="Z720" s="149"/>
    </row>
    <row r="721" spans="1:26" ht="14.25" customHeight="1" x14ac:dyDescent="0.3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  <c r="Z721" s="149"/>
    </row>
    <row r="722" spans="1:26" ht="14.25" customHeight="1" x14ac:dyDescent="0.35">
      <c r="A722" s="149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  <c r="Z722" s="149"/>
    </row>
    <row r="723" spans="1:26" ht="14.25" customHeight="1" x14ac:dyDescent="0.3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  <c r="Z723" s="149"/>
    </row>
    <row r="724" spans="1:26" ht="14.25" customHeight="1" x14ac:dyDescent="0.35">
      <c r="A724" s="149"/>
      <c r="B724" s="149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  <c r="Z724" s="149"/>
    </row>
    <row r="725" spans="1:26" ht="14.25" customHeight="1" x14ac:dyDescent="0.3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49"/>
      <c r="U725" s="149"/>
      <c r="V725" s="149"/>
      <c r="W725" s="149"/>
      <c r="X725" s="149"/>
      <c r="Y725" s="149"/>
      <c r="Z725" s="149"/>
    </row>
    <row r="726" spans="1:26" ht="14.25" customHeight="1" x14ac:dyDescent="0.35">
      <c r="A726" s="149"/>
      <c r="B726" s="149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49"/>
      <c r="U726" s="149"/>
      <c r="V726" s="149"/>
      <c r="W726" s="149"/>
      <c r="X726" s="149"/>
      <c r="Y726" s="149"/>
      <c r="Z726" s="149"/>
    </row>
    <row r="727" spans="1:26" ht="14.25" customHeight="1" x14ac:dyDescent="0.3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49"/>
      <c r="U727" s="149"/>
      <c r="V727" s="149"/>
      <c r="W727" s="149"/>
      <c r="X727" s="149"/>
      <c r="Y727" s="149"/>
      <c r="Z727" s="149"/>
    </row>
    <row r="728" spans="1:26" ht="14.25" customHeight="1" x14ac:dyDescent="0.35">
      <c r="A728" s="149"/>
      <c r="B728" s="149"/>
      <c r="C728" s="149"/>
      <c r="D728" s="149"/>
      <c r="E728" s="149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  <c r="Z728" s="149"/>
    </row>
    <row r="729" spans="1:26" ht="14.25" customHeight="1" x14ac:dyDescent="0.3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  <c r="Z729" s="149"/>
    </row>
    <row r="730" spans="1:26" ht="14.25" customHeight="1" x14ac:dyDescent="0.35">
      <c r="A730" s="149"/>
      <c r="B730" s="149"/>
      <c r="C730" s="149"/>
      <c r="D730" s="149"/>
      <c r="E730" s="149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  <c r="Z730" s="149"/>
    </row>
    <row r="731" spans="1:26" ht="14.25" customHeight="1" x14ac:dyDescent="0.3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  <c r="Z731" s="149"/>
    </row>
    <row r="732" spans="1:26" ht="14.25" customHeight="1" x14ac:dyDescent="0.35">
      <c r="A732" s="149"/>
      <c r="B732" s="149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49"/>
      <c r="U732" s="149"/>
      <c r="V732" s="149"/>
      <c r="W732" s="149"/>
      <c r="X732" s="149"/>
      <c r="Y732" s="149"/>
      <c r="Z732" s="149"/>
    </row>
    <row r="733" spans="1:26" ht="14.25" customHeight="1" x14ac:dyDescent="0.3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  <c r="Z733" s="149"/>
    </row>
    <row r="734" spans="1:26" ht="14.25" customHeight="1" x14ac:dyDescent="0.35">
      <c r="A734" s="149"/>
      <c r="B734" s="149"/>
      <c r="C734" s="149"/>
      <c r="D734" s="149"/>
      <c r="E734" s="149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  <c r="Z734" s="149"/>
    </row>
    <row r="735" spans="1:26" ht="14.25" customHeight="1" x14ac:dyDescent="0.3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  <c r="Z735" s="149"/>
    </row>
    <row r="736" spans="1:26" ht="14.25" customHeight="1" x14ac:dyDescent="0.35">
      <c r="A736" s="149"/>
      <c r="B736" s="149"/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  <c r="Z736" s="149"/>
    </row>
    <row r="737" spans="1:26" ht="14.25" customHeight="1" x14ac:dyDescent="0.3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  <c r="Z737" s="149"/>
    </row>
    <row r="738" spans="1:26" ht="14.25" customHeight="1" x14ac:dyDescent="0.35">
      <c r="A738" s="149"/>
      <c r="B738" s="149"/>
      <c r="C738" s="149"/>
      <c r="D738" s="149"/>
      <c r="E738" s="149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49"/>
      <c r="U738" s="149"/>
      <c r="V738" s="149"/>
      <c r="W738" s="149"/>
      <c r="X738" s="149"/>
      <c r="Y738" s="149"/>
      <c r="Z738" s="149"/>
    </row>
    <row r="739" spans="1:26" ht="14.25" customHeight="1" x14ac:dyDescent="0.3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49"/>
      <c r="U739" s="149"/>
      <c r="V739" s="149"/>
      <c r="W739" s="149"/>
      <c r="X739" s="149"/>
      <c r="Y739" s="149"/>
      <c r="Z739" s="149"/>
    </row>
    <row r="740" spans="1:26" ht="14.25" customHeight="1" x14ac:dyDescent="0.35">
      <c r="A740" s="149"/>
      <c r="B740" s="149"/>
      <c r="C740" s="149"/>
      <c r="D740" s="149"/>
      <c r="E740" s="149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49"/>
      <c r="U740" s="149"/>
      <c r="V740" s="149"/>
      <c r="W740" s="149"/>
      <c r="X740" s="149"/>
      <c r="Y740" s="149"/>
      <c r="Z740" s="149"/>
    </row>
    <row r="741" spans="1:26" ht="14.25" customHeight="1" x14ac:dyDescent="0.3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49"/>
      <c r="U741" s="149"/>
      <c r="V741" s="149"/>
      <c r="W741" s="149"/>
      <c r="X741" s="149"/>
      <c r="Y741" s="149"/>
      <c r="Z741" s="149"/>
    </row>
    <row r="742" spans="1:26" ht="14.25" customHeight="1" x14ac:dyDescent="0.35">
      <c r="A742" s="149"/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  <c r="U742" s="149"/>
      <c r="V742" s="149"/>
      <c r="W742" s="149"/>
      <c r="X742" s="149"/>
      <c r="Y742" s="149"/>
      <c r="Z742" s="149"/>
    </row>
    <row r="743" spans="1:26" ht="14.25" customHeight="1" x14ac:dyDescent="0.3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  <c r="Z743" s="149"/>
    </row>
    <row r="744" spans="1:26" ht="14.25" customHeight="1" x14ac:dyDescent="0.35">
      <c r="A744" s="149"/>
      <c r="B744" s="149"/>
      <c r="C744" s="149"/>
      <c r="D744" s="149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  <c r="Z744" s="149"/>
    </row>
    <row r="745" spans="1:26" ht="14.25" customHeight="1" x14ac:dyDescent="0.3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  <c r="Z745" s="149"/>
    </row>
    <row r="746" spans="1:26" ht="14.25" customHeight="1" x14ac:dyDescent="0.35">
      <c r="A746" s="149"/>
      <c r="B746" s="149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  <c r="Z746" s="149"/>
    </row>
    <row r="747" spans="1:26" ht="14.25" customHeight="1" x14ac:dyDescent="0.3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49"/>
      <c r="U747" s="149"/>
      <c r="V747" s="149"/>
      <c r="W747" s="149"/>
      <c r="X747" s="149"/>
      <c r="Y747" s="149"/>
      <c r="Z747" s="149"/>
    </row>
    <row r="748" spans="1:26" ht="14.25" customHeight="1" x14ac:dyDescent="0.35">
      <c r="A748" s="149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49"/>
      <c r="U748" s="149"/>
      <c r="V748" s="149"/>
      <c r="W748" s="149"/>
      <c r="X748" s="149"/>
      <c r="Y748" s="149"/>
      <c r="Z748" s="149"/>
    </row>
    <row r="749" spans="1:26" ht="14.25" customHeight="1" x14ac:dyDescent="0.3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49"/>
      <c r="U749" s="149"/>
      <c r="V749" s="149"/>
      <c r="W749" s="149"/>
      <c r="X749" s="149"/>
      <c r="Y749" s="149"/>
      <c r="Z749" s="149"/>
    </row>
    <row r="750" spans="1:26" ht="14.25" customHeight="1" x14ac:dyDescent="0.35">
      <c r="A750" s="149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49"/>
      <c r="U750" s="149"/>
      <c r="V750" s="149"/>
      <c r="W750" s="149"/>
      <c r="X750" s="149"/>
      <c r="Y750" s="149"/>
      <c r="Z750" s="149"/>
    </row>
    <row r="751" spans="1:26" ht="14.25" customHeight="1" x14ac:dyDescent="0.3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49"/>
      <c r="U751" s="149"/>
      <c r="V751" s="149"/>
      <c r="W751" s="149"/>
      <c r="X751" s="149"/>
      <c r="Y751" s="149"/>
      <c r="Z751" s="149"/>
    </row>
    <row r="752" spans="1:26" ht="14.25" customHeight="1" x14ac:dyDescent="0.35">
      <c r="A752" s="149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49"/>
      <c r="U752" s="149"/>
      <c r="V752" s="149"/>
      <c r="W752" s="149"/>
      <c r="X752" s="149"/>
      <c r="Y752" s="149"/>
      <c r="Z752" s="149"/>
    </row>
    <row r="753" spans="1:26" ht="14.25" customHeight="1" x14ac:dyDescent="0.3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49"/>
      <c r="U753" s="149"/>
      <c r="V753" s="149"/>
      <c r="W753" s="149"/>
      <c r="X753" s="149"/>
      <c r="Y753" s="149"/>
      <c r="Z753" s="149"/>
    </row>
    <row r="754" spans="1:26" ht="14.25" customHeight="1" x14ac:dyDescent="0.35">
      <c r="A754" s="149"/>
      <c r="B754" s="149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  <c r="Z754" s="149"/>
    </row>
    <row r="755" spans="1:26" ht="14.25" customHeight="1" x14ac:dyDescent="0.3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49"/>
      <c r="U755" s="149"/>
      <c r="V755" s="149"/>
      <c r="W755" s="149"/>
      <c r="X755" s="149"/>
      <c r="Y755" s="149"/>
      <c r="Z755" s="149"/>
    </row>
    <row r="756" spans="1:26" ht="14.25" customHeight="1" x14ac:dyDescent="0.35">
      <c r="A756" s="149"/>
      <c r="B756" s="149"/>
      <c r="C756" s="149"/>
      <c r="D756" s="149"/>
      <c r="E756" s="149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/>
      <c r="Z756" s="149"/>
    </row>
    <row r="757" spans="1:26" ht="14.25" customHeight="1" x14ac:dyDescent="0.3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49"/>
      <c r="U757" s="149"/>
      <c r="V757" s="149"/>
      <c r="W757" s="149"/>
      <c r="X757" s="149"/>
      <c r="Y757" s="149"/>
      <c r="Z757" s="149"/>
    </row>
    <row r="758" spans="1:26" ht="14.25" customHeight="1" x14ac:dyDescent="0.35">
      <c r="A758" s="149"/>
      <c r="B758" s="149"/>
      <c r="C758" s="149"/>
      <c r="D758" s="149"/>
      <c r="E758" s="149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49"/>
      <c r="U758" s="149"/>
      <c r="V758" s="149"/>
      <c r="W758" s="149"/>
      <c r="X758" s="149"/>
      <c r="Y758" s="149"/>
      <c r="Z758" s="149"/>
    </row>
    <row r="759" spans="1:26" ht="14.25" customHeight="1" x14ac:dyDescent="0.3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49"/>
      <c r="U759" s="149"/>
      <c r="V759" s="149"/>
      <c r="W759" s="149"/>
      <c r="X759" s="149"/>
      <c r="Y759" s="149"/>
      <c r="Z759" s="149"/>
    </row>
    <row r="760" spans="1:26" ht="14.25" customHeight="1" x14ac:dyDescent="0.35">
      <c r="A760" s="149"/>
      <c r="B760" s="149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49"/>
      <c r="U760" s="149"/>
      <c r="V760" s="149"/>
      <c r="W760" s="149"/>
      <c r="X760" s="149"/>
      <c r="Y760" s="149"/>
      <c r="Z760" s="149"/>
    </row>
    <row r="761" spans="1:26" ht="14.25" customHeight="1" x14ac:dyDescent="0.3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49"/>
      <c r="U761" s="149"/>
      <c r="V761" s="149"/>
      <c r="W761" s="149"/>
      <c r="X761" s="149"/>
      <c r="Y761" s="149"/>
      <c r="Z761" s="149"/>
    </row>
    <row r="762" spans="1:26" ht="14.25" customHeight="1" x14ac:dyDescent="0.35">
      <c r="A762" s="149"/>
      <c r="B762" s="149"/>
      <c r="C762" s="149"/>
      <c r="D762" s="149"/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  <c r="Z762" s="149"/>
    </row>
    <row r="763" spans="1:26" ht="14.25" customHeight="1" x14ac:dyDescent="0.3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49"/>
      <c r="U763" s="149"/>
      <c r="V763" s="149"/>
      <c r="W763" s="149"/>
      <c r="X763" s="149"/>
      <c r="Y763" s="149"/>
      <c r="Z763" s="149"/>
    </row>
    <row r="764" spans="1:26" ht="14.25" customHeight="1" x14ac:dyDescent="0.35">
      <c r="A764" s="149"/>
      <c r="B764" s="149"/>
      <c r="C764" s="149"/>
      <c r="D764" s="149"/>
      <c r="E764" s="149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  <c r="Z764" s="149"/>
    </row>
    <row r="765" spans="1:26" ht="14.25" customHeight="1" x14ac:dyDescent="0.3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  <c r="Z765" s="149"/>
    </row>
    <row r="766" spans="1:26" ht="14.25" customHeight="1" x14ac:dyDescent="0.35">
      <c r="A766" s="149"/>
      <c r="B766" s="149"/>
      <c r="C766" s="149"/>
      <c r="D766" s="149"/>
      <c r="E766" s="149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  <c r="Z766" s="149"/>
    </row>
    <row r="767" spans="1:26" ht="14.25" customHeight="1" x14ac:dyDescent="0.3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  <c r="Z767" s="149"/>
    </row>
    <row r="768" spans="1:26" ht="14.25" customHeight="1" x14ac:dyDescent="0.35">
      <c r="A768" s="149"/>
      <c r="B768" s="149"/>
      <c r="C768" s="149"/>
      <c r="D768" s="149"/>
      <c r="E768" s="149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  <c r="Z768" s="149"/>
    </row>
    <row r="769" spans="1:26" ht="14.25" customHeight="1" x14ac:dyDescent="0.3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  <c r="Z769" s="149"/>
    </row>
    <row r="770" spans="1:26" ht="14.25" customHeight="1" x14ac:dyDescent="0.35">
      <c r="A770" s="149"/>
      <c r="B770" s="149"/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  <c r="Z770" s="149"/>
    </row>
    <row r="771" spans="1:26" ht="14.25" customHeight="1" x14ac:dyDescent="0.3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  <c r="Z771" s="149"/>
    </row>
    <row r="772" spans="1:26" ht="14.25" customHeight="1" x14ac:dyDescent="0.35">
      <c r="A772" s="149"/>
      <c r="B772" s="149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49"/>
      <c r="U772" s="149"/>
      <c r="V772" s="149"/>
      <c r="W772" s="149"/>
      <c r="X772" s="149"/>
      <c r="Y772" s="149"/>
      <c r="Z772" s="149"/>
    </row>
    <row r="773" spans="1:26" ht="14.25" customHeight="1" x14ac:dyDescent="0.3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49"/>
      <c r="U773" s="149"/>
      <c r="V773" s="149"/>
      <c r="W773" s="149"/>
      <c r="X773" s="149"/>
      <c r="Y773" s="149"/>
      <c r="Z773" s="149"/>
    </row>
    <row r="774" spans="1:26" ht="14.25" customHeight="1" x14ac:dyDescent="0.35">
      <c r="A774" s="149"/>
      <c r="B774" s="149"/>
      <c r="C774" s="149"/>
      <c r="D774" s="149"/>
      <c r="E774" s="149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49"/>
      <c r="U774" s="149"/>
      <c r="V774" s="149"/>
      <c r="W774" s="149"/>
      <c r="X774" s="149"/>
      <c r="Y774" s="149"/>
      <c r="Z774" s="149"/>
    </row>
    <row r="775" spans="1:26" ht="14.25" customHeight="1" x14ac:dyDescent="0.3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49"/>
      <c r="U775" s="149"/>
      <c r="V775" s="149"/>
      <c r="W775" s="149"/>
      <c r="X775" s="149"/>
      <c r="Y775" s="149"/>
      <c r="Z775" s="149"/>
    </row>
    <row r="776" spans="1:26" ht="14.25" customHeight="1" x14ac:dyDescent="0.35">
      <c r="A776" s="149"/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49"/>
      <c r="U776" s="149"/>
      <c r="V776" s="149"/>
      <c r="W776" s="149"/>
      <c r="X776" s="149"/>
      <c r="Y776" s="149"/>
      <c r="Z776" s="149"/>
    </row>
    <row r="777" spans="1:26" ht="14.25" customHeight="1" x14ac:dyDescent="0.3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49"/>
      <c r="U777" s="149"/>
      <c r="V777" s="149"/>
      <c r="W777" s="149"/>
      <c r="X777" s="149"/>
      <c r="Y777" s="149"/>
      <c r="Z777" s="149"/>
    </row>
    <row r="778" spans="1:26" ht="14.25" customHeight="1" x14ac:dyDescent="0.35">
      <c r="A778" s="149"/>
      <c r="B778" s="149"/>
      <c r="C778" s="149"/>
      <c r="D778" s="149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49"/>
      <c r="U778" s="149"/>
      <c r="V778" s="149"/>
      <c r="W778" s="149"/>
      <c r="X778" s="149"/>
      <c r="Y778" s="149"/>
      <c r="Z778" s="149"/>
    </row>
    <row r="779" spans="1:26" ht="14.25" customHeight="1" x14ac:dyDescent="0.3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49"/>
      <c r="U779" s="149"/>
      <c r="V779" s="149"/>
      <c r="W779" s="149"/>
      <c r="X779" s="149"/>
      <c r="Y779" s="149"/>
      <c r="Z779" s="149"/>
    </row>
    <row r="780" spans="1:26" ht="14.25" customHeight="1" x14ac:dyDescent="0.35">
      <c r="A780" s="149"/>
      <c r="B780" s="149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49"/>
      <c r="U780" s="149"/>
      <c r="V780" s="149"/>
      <c r="W780" s="149"/>
      <c r="X780" s="149"/>
      <c r="Y780" s="149"/>
      <c r="Z780" s="149"/>
    </row>
    <row r="781" spans="1:26" ht="14.25" customHeight="1" x14ac:dyDescent="0.3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49"/>
      <c r="U781" s="149"/>
      <c r="V781" s="149"/>
      <c r="W781" s="149"/>
      <c r="X781" s="149"/>
      <c r="Y781" s="149"/>
      <c r="Z781" s="149"/>
    </row>
    <row r="782" spans="1:26" ht="14.25" customHeight="1" x14ac:dyDescent="0.35">
      <c r="A782" s="149"/>
      <c r="B782" s="149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49"/>
      <c r="U782" s="149"/>
      <c r="V782" s="149"/>
      <c r="W782" s="149"/>
      <c r="X782" s="149"/>
      <c r="Y782" s="149"/>
      <c r="Z782" s="149"/>
    </row>
    <row r="783" spans="1:26" ht="14.25" customHeight="1" x14ac:dyDescent="0.3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49"/>
      <c r="U783" s="149"/>
      <c r="V783" s="149"/>
      <c r="W783" s="149"/>
      <c r="X783" s="149"/>
      <c r="Y783" s="149"/>
      <c r="Z783" s="149"/>
    </row>
    <row r="784" spans="1:26" ht="14.25" customHeight="1" x14ac:dyDescent="0.35">
      <c r="A784" s="149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49"/>
      <c r="U784" s="149"/>
      <c r="V784" s="149"/>
      <c r="W784" s="149"/>
      <c r="X784" s="149"/>
      <c r="Y784" s="149"/>
      <c r="Z784" s="149"/>
    </row>
    <row r="785" spans="1:26" ht="14.25" customHeight="1" x14ac:dyDescent="0.3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49"/>
      <c r="U785" s="149"/>
      <c r="V785" s="149"/>
      <c r="W785" s="149"/>
      <c r="X785" s="149"/>
      <c r="Y785" s="149"/>
      <c r="Z785" s="149"/>
    </row>
    <row r="786" spans="1:26" ht="14.25" customHeight="1" x14ac:dyDescent="0.35">
      <c r="A786" s="149"/>
      <c r="B786" s="149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  <c r="R786" s="149"/>
      <c r="S786" s="149"/>
      <c r="T786" s="149"/>
      <c r="U786" s="149"/>
      <c r="V786" s="149"/>
      <c r="W786" s="149"/>
      <c r="X786" s="149"/>
      <c r="Y786" s="149"/>
      <c r="Z786" s="149"/>
    </row>
    <row r="787" spans="1:26" ht="14.25" customHeight="1" x14ac:dyDescent="0.3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49"/>
      <c r="U787" s="149"/>
      <c r="V787" s="149"/>
      <c r="W787" s="149"/>
      <c r="X787" s="149"/>
      <c r="Y787" s="149"/>
      <c r="Z787" s="149"/>
    </row>
    <row r="788" spans="1:26" ht="14.25" customHeight="1" x14ac:dyDescent="0.35">
      <c r="A788" s="149"/>
      <c r="B788" s="149"/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  <c r="Z788" s="149"/>
    </row>
    <row r="789" spans="1:26" ht="14.25" customHeight="1" x14ac:dyDescent="0.3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49"/>
      <c r="U789" s="149"/>
      <c r="V789" s="149"/>
      <c r="W789" s="149"/>
      <c r="X789" s="149"/>
      <c r="Y789" s="149"/>
      <c r="Z789" s="149"/>
    </row>
    <row r="790" spans="1:26" ht="14.25" customHeight="1" x14ac:dyDescent="0.35">
      <c r="A790" s="149"/>
      <c r="B790" s="149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  <c r="R790" s="149"/>
      <c r="S790" s="149"/>
      <c r="T790" s="149"/>
      <c r="U790" s="149"/>
      <c r="V790" s="149"/>
      <c r="W790" s="149"/>
      <c r="X790" s="149"/>
      <c r="Y790" s="149"/>
      <c r="Z790" s="149"/>
    </row>
    <row r="791" spans="1:26" ht="14.25" customHeight="1" x14ac:dyDescent="0.3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49"/>
      <c r="U791" s="149"/>
      <c r="V791" s="149"/>
      <c r="W791" s="149"/>
      <c r="X791" s="149"/>
      <c r="Y791" s="149"/>
      <c r="Z791" s="149"/>
    </row>
    <row r="792" spans="1:26" ht="14.25" customHeight="1" x14ac:dyDescent="0.35">
      <c r="A792" s="149"/>
      <c r="B792" s="149"/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  <c r="Z792" s="149"/>
    </row>
    <row r="793" spans="1:26" ht="14.25" customHeight="1" x14ac:dyDescent="0.3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49"/>
      <c r="U793" s="149"/>
      <c r="V793" s="149"/>
      <c r="W793" s="149"/>
      <c r="X793" s="149"/>
      <c r="Y793" s="149"/>
      <c r="Z793" s="149"/>
    </row>
    <row r="794" spans="1:26" ht="14.25" customHeight="1" x14ac:dyDescent="0.35">
      <c r="A794" s="149"/>
      <c r="B794" s="149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  <c r="U794" s="149"/>
      <c r="V794" s="149"/>
      <c r="W794" s="149"/>
      <c r="X794" s="149"/>
      <c r="Y794" s="149"/>
      <c r="Z794" s="149"/>
    </row>
    <row r="795" spans="1:26" ht="14.25" customHeight="1" x14ac:dyDescent="0.3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49"/>
      <c r="U795" s="149"/>
      <c r="V795" s="149"/>
      <c r="W795" s="149"/>
      <c r="X795" s="149"/>
      <c r="Y795" s="149"/>
      <c r="Z795" s="149"/>
    </row>
    <row r="796" spans="1:26" ht="14.25" customHeight="1" x14ac:dyDescent="0.35">
      <c r="A796" s="149"/>
      <c r="B796" s="149"/>
      <c r="C796" s="149"/>
      <c r="D796" s="149"/>
      <c r="E796" s="149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/>
      <c r="Z796" s="149"/>
    </row>
    <row r="797" spans="1:26" ht="14.25" customHeight="1" x14ac:dyDescent="0.3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49"/>
      <c r="U797" s="149"/>
      <c r="V797" s="149"/>
      <c r="W797" s="149"/>
      <c r="X797" s="149"/>
      <c r="Y797" s="149"/>
      <c r="Z797" s="149"/>
    </row>
    <row r="798" spans="1:26" ht="14.25" customHeight="1" x14ac:dyDescent="0.35">
      <c r="A798" s="149"/>
      <c r="B798" s="149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  <c r="Z798" s="149"/>
    </row>
    <row r="799" spans="1:26" ht="14.25" customHeight="1" x14ac:dyDescent="0.3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49"/>
      <c r="U799" s="149"/>
      <c r="V799" s="149"/>
      <c r="W799" s="149"/>
      <c r="X799" s="149"/>
      <c r="Y799" s="149"/>
      <c r="Z799" s="149"/>
    </row>
    <row r="800" spans="1:26" ht="14.25" customHeight="1" x14ac:dyDescent="0.35">
      <c r="A800" s="149"/>
      <c r="B800" s="149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  <c r="Z800" s="149"/>
    </row>
    <row r="801" spans="1:26" ht="14.25" customHeight="1" x14ac:dyDescent="0.3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49"/>
      <c r="U801" s="149"/>
      <c r="V801" s="149"/>
      <c r="W801" s="149"/>
      <c r="X801" s="149"/>
      <c r="Y801" s="149"/>
      <c r="Z801" s="149"/>
    </row>
    <row r="802" spans="1:26" ht="14.25" customHeight="1" x14ac:dyDescent="0.35">
      <c r="A802" s="149"/>
      <c r="B802" s="149"/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  <c r="R802" s="149"/>
      <c r="S802" s="149"/>
      <c r="T802" s="149"/>
      <c r="U802" s="149"/>
      <c r="V802" s="149"/>
      <c r="W802" s="149"/>
      <c r="X802" s="149"/>
      <c r="Y802" s="149"/>
      <c r="Z802" s="149"/>
    </row>
    <row r="803" spans="1:26" ht="14.25" customHeight="1" x14ac:dyDescent="0.3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49"/>
      <c r="U803" s="149"/>
      <c r="V803" s="149"/>
      <c r="W803" s="149"/>
      <c r="X803" s="149"/>
      <c r="Y803" s="149"/>
      <c r="Z803" s="149"/>
    </row>
    <row r="804" spans="1:26" ht="14.25" customHeight="1" x14ac:dyDescent="0.35">
      <c r="A804" s="149"/>
      <c r="B804" s="149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  <c r="V804" s="149"/>
      <c r="W804" s="149"/>
      <c r="X804" s="149"/>
      <c r="Y804" s="149"/>
      <c r="Z804" s="149"/>
    </row>
    <row r="805" spans="1:26" ht="14.25" customHeight="1" x14ac:dyDescent="0.3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49"/>
      <c r="U805" s="149"/>
      <c r="V805" s="149"/>
      <c r="W805" s="149"/>
      <c r="X805" s="149"/>
      <c r="Y805" s="149"/>
      <c r="Z805" s="149"/>
    </row>
    <row r="806" spans="1:26" ht="14.25" customHeight="1" x14ac:dyDescent="0.35">
      <c r="A806" s="149"/>
      <c r="B806" s="149"/>
      <c r="C806" s="149"/>
      <c r="D806" s="149"/>
      <c r="E806" s="149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  <c r="R806" s="149"/>
      <c r="S806" s="149"/>
      <c r="T806" s="149"/>
      <c r="U806" s="149"/>
      <c r="V806" s="149"/>
      <c r="W806" s="149"/>
      <c r="X806" s="149"/>
      <c r="Y806" s="149"/>
      <c r="Z806" s="149"/>
    </row>
    <row r="807" spans="1:26" ht="14.25" customHeight="1" x14ac:dyDescent="0.3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49"/>
      <c r="U807" s="149"/>
      <c r="V807" s="149"/>
      <c r="W807" s="149"/>
      <c r="X807" s="149"/>
      <c r="Y807" s="149"/>
      <c r="Z807" s="149"/>
    </row>
    <row r="808" spans="1:26" ht="14.25" customHeight="1" x14ac:dyDescent="0.35">
      <c r="A808" s="149"/>
      <c r="B808" s="149"/>
      <c r="C808" s="149"/>
      <c r="D808" s="149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  <c r="Z808" s="149"/>
    </row>
    <row r="809" spans="1:26" ht="14.25" customHeight="1" x14ac:dyDescent="0.3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  <c r="Z809" s="149"/>
    </row>
    <row r="810" spans="1:26" ht="14.25" customHeight="1" x14ac:dyDescent="0.35">
      <c r="A810" s="149"/>
      <c r="B810" s="149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  <c r="Z810" s="149"/>
    </row>
    <row r="811" spans="1:26" ht="14.25" customHeight="1" x14ac:dyDescent="0.3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49"/>
      <c r="U811" s="149"/>
      <c r="V811" s="149"/>
      <c r="W811" s="149"/>
      <c r="X811" s="149"/>
      <c r="Y811" s="149"/>
      <c r="Z811" s="149"/>
    </row>
    <row r="812" spans="1:26" ht="14.25" customHeight="1" x14ac:dyDescent="0.35">
      <c r="A812" s="149"/>
      <c r="B812" s="149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  <c r="R812" s="149"/>
      <c r="S812" s="149"/>
      <c r="T812" s="149"/>
      <c r="U812" s="149"/>
      <c r="V812" s="149"/>
      <c r="W812" s="149"/>
      <c r="X812" s="149"/>
      <c r="Y812" s="149"/>
      <c r="Z812" s="149"/>
    </row>
    <row r="813" spans="1:26" ht="14.25" customHeight="1" x14ac:dyDescent="0.3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49"/>
      <c r="U813" s="149"/>
      <c r="V813" s="149"/>
      <c r="W813" s="149"/>
      <c r="X813" s="149"/>
      <c r="Y813" s="149"/>
      <c r="Z813" s="149"/>
    </row>
    <row r="814" spans="1:26" ht="14.25" customHeight="1" x14ac:dyDescent="0.35">
      <c r="A814" s="149"/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  <c r="R814" s="149"/>
      <c r="S814" s="149"/>
      <c r="T814" s="149"/>
      <c r="U814" s="149"/>
      <c r="V814" s="149"/>
      <c r="W814" s="149"/>
      <c r="X814" s="149"/>
      <c r="Y814" s="149"/>
      <c r="Z814" s="149"/>
    </row>
    <row r="815" spans="1:26" ht="14.25" customHeight="1" x14ac:dyDescent="0.3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  <c r="Z815" s="149"/>
    </row>
    <row r="816" spans="1:26" ht="14.25" customHeight="1" x14ac:dyDescent="0.35">
      <c r="A816" s="149"/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  <c r="Z816" s="149"/>
    </row>
    <row r="817" spans="1:26" ht="14.25" customHeight="1" x14ac:dyDescent="0.3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  <c r="Z817" s="149"/>
    </row>
    <row r="818" spans="1:26" ht="14.25" customHeight="1" x14ac:dyDescent="0.35">
      <c r="A818" s="149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  <c r="R818" s="149"/>
      <c r="S818" s="149"/>
      <c r="T818" s="149"/>
      <c r="U818" s="149"/>
      <c r="V818" s="149"/>
      <c r="W818" s="149"/>
      <c r="X818" s="149"/>
      <c r="Y818" s="149"/>
      <c r="Z818" s="149"/>
    </row>
    <row r="819" spans="1:26" ht="14.25" customHeight="1" x14ac:dyDescent="0.3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49"/>
      <c r="U819" s="149"/>
      <c r="V819" s="149"/>
      <c r="W819" s="149"/>
      <c r="X819" s="149"/>
      <c r="Y819" s="149"/>
      <c r="Z819" s="149"/>
    </row>
    <row r="820" spans="1:26" ht="14.25" customHeight="1" x14ac:dyDescent="0.35">
      <c r="A820" s="149"/>
      <c r="B820" s="149"/>
      <c r="C820" s="149"/>
      <c r="D820" s="149"/>
      <c r="E820" s="149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  <c r="R820" s="149"/>
      <c r="S820" s="149"/>
      <c r="T820" s="149"/>
      <c r="U820" s="149"/>
      <c r="V820" s="149"/>
      <c r="W820" s="149"/>
      <c r="X820" s="149"/>
      <c r="Y820" s="149"/>
      <c r="Z820" s="149"/>
    </row>
    <row r="821" spans="1:26" ht="14.25" customHeight="1" x14ac:dyDescent="0.3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49"/>
      <c r="U821" s="149"/>
      <c r="V821" s="149"/>
      <c r="W821" s="149"/>
      <c r="X821" s="149"/>
      <c r="Y821" s="149"/>
      <c r="Z821" s="149"/>
    </row>
    <row r="822" spans="1:26" ht="14.25" customHeight="1" x14ac:dyDescent="0.35">
      <c r="A822" s="149"/>
      <c r="B822" s="149"/>
      <c r="C822" s="149"/>
      <c r="D822" s="149"/>
      <c r="E822" s="149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  <c r="R822" s="149"/>
      <c r="S822" s="149"/>
      <c r="T822" s="149"/>
      <c r="U822" s="149"/>
      <c r="V822" s="149"/>
      <c r="W822" s="149"/>
      <c r="X822" s="149"/>
      <c r="Y822" s="149"/>
      <c r="Z822" s="149"/>
    </row>
    <row r="823" spans="1:26" ht="14.25" customHeight="1" x14ac:dyDescent="0.3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49"/>
      <c r="U823" s="149"/>
      <c r="V823" s="149"/>
      <c r="W823" s="149"/>
      <c r="X823" s="149"/>
      <c r="Y823" s="149"/>
      <c r="Z823" s="149"/>
    </row>
    <row r="824" spans="1:26" ht="14.25" customHeight="1" x14ac:dyDescent="0.35">
      <c r="A824" s="149"/>
      <c r="B824" s="149"/>
      <c r="C824" s="149"/>
      <c r="D824" s="149"/>
      <c r="E824" s="149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  <c r="Z824" s="149"/>
    </row>
    <row r="825" spans="1:26" ht="14.25" customHeight="1" x14ac:dyDescent="0.3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  <c r="Z825" s="149"/>
    </row>
    <row r="826" spans="1:26" ht="14.25" customHeight="1" x14ac:dyDescent="0.35">
      <c r="A826" s="149"/>
      <c r="B826" s="149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49"/>
      <c r="U826" s="149"/>
      <c r="V826" s="149"/>
      <c r="W826" s="149"/>
      <c r="X826" s="149"/>
      <c r="Y826" s="149"/>
      <c r="Z826" s="149"/>
    </row>
    <row r="827" spans="1:26" ht="14.25" customHeight="1" x14ac:dyDescent="0.3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  <c r="Z827" s="149"/>
    </row>
    <row r="828" spans="1:26" ht="14.25" customHeight="1" x14ac:dyDescent="0.35">
      <c r="A828" s="149"/>
      <c r="B828" s="149"/>
      <c r="C828" s="149"/>
      <c r="D828" s="149"/>
      <c r="E828" s="149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  <c r="R828" s="149"/>
      <c r="S828" s="149"/>
      <c r="T828" s="149"/>
      <c r="U828" s="149"/>
      <c r="V828" s="149"/>
      <c r="W828" s="149"/>
      <c r="X828" s="149"/>
      <c r="Y828" s="149"/>
      <c r="Z828" s="149"/>
    </row>
    <row r="829" spans="1:26" ht="14.25" customHeight="1" x14ac:dyDescent="0.3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49"/>
      <c r="U829" s="149"/>
      <c r="V829" s="149"/>
      <c r="W829" s="149"/>
      <c r="X829" s="149"/>
      <c r="Y829" s="149"/>
      <c r="Z829" s="149"/>
    </row>
    <row r="830" spans="1:26" ht="14.25" customHeight="1" x14ac:dyDescent="0.35">
      <c r="A830" s="149"/>
      <c r="B830" s="149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  <c r="U830" s="149"/>
      <c r="V830" s="149"/>
      <c r="W830" s="149"/>
      <c r="X830" s="149"/>
      <c r="Y830" s="149"/>
      <c r="Z830" s="149"/>
    </row>
    <row r="831" spans="1:26" ht="14.25" customHeight="1" x14ac:dyDescent="0.3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49"/>
      <c r="U831" s="149"/>
      <c r="V831" s="149"/>
      <c r="W831" s="149"/>
      <c r="X831" s="149"/>
      <c r="Y831" s="149"/>
      <c r="Z831" s="149"/>
    </row>
    <row r="832" spans="1:26" ht="14.25" customHeight="1" x14ac:dyDescent="0.35">
      <c r="A832" s="149"/>
      <c r="B832" s="149"/>
      <c r="C832" s="149"/>
      <c r="D832" s="149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  <c r="R832" s="149"/>
      <c r="S832" s="149"/>
      <c r="T832" s="149"/>
      <c r="U832" s="149"/>
      <c r="V832" s="149"/>
      <c r="W832" s="149"/>
      <c r="X832" s="149"/>
      <c r="Y832" s="149"/>
      <c r="Z832" s="149"/>
    </row>
    <row r="833" spans="1:26" ht="14.25" customHeight="1" x14ac:dyDescent="0.3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49"/>
      <c r="U833" s="149"/>
      <c r="V833" s="149"/>
      <c r="W833" s="149"/>
      <c r="X833" s="149"/>
      <c r="Y833" s="149"/>
      <c r="Z833" s="149"/>
    </row>
    <row r="834" spans="1:26" ht="14.25" customHeight="1" x14ac:dyDescent="0.35">
      <c r="A834" s="149"/>
      <c r="B834" s="149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49"/>
      <c r="U834" s="149"/>
      <c r="V834" s="149"/>
      <c r="W834" s="149"/>
      <c r="X834" s="149"/>
      <c r="Y834" s="149"/>
      <c r="Z834" s="149"/>
    </row>
    <row r="835" spans="1:26" ht="14.25" customHeight="1" x14ac:dyDescent="0.3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49"/>
      <c r="U835" s="149"/>
      <c r="V835" s="149"/>
      <c r="W835" s="149"/>
      <c r="X835" s="149"/>
      <c r="Y835" s="149"/>
      <c r="Z835" s="149"/>
    </row>
    <row r="836" spans="1:26" ht="14.25" customHeight="1" x14ac:dyDescent="0.35">
      <c r="A836" s="149"/>
      <c r="B836" s="149"/>
      <c r="C836" s="149"/>
      <c r="D836" s="149"/>
      <c r="E836" s="149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  <c r="R836" s="149"/>
      <c r="S836" s="149"/>
      <c r="T836" s="149"/>
      <c r="U836" s="149"/>
      <c r="V836" s="149"/>
      <c r="W836" s="149"/>
      <c r="X836" s="149"/>
      <c r="Y836" s="149"/>
      <c r="Z836" s="149"/>
    </row>
    <row r="837" spans="1:26" ht="14.25" customHeight="1" x14ac:dyDescent="0.3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49"/>
      <c r="U837" s="149"/>
      <c r="V837" s="149"/>
      <c r="W837" s="149"/>
      <c r="X837" s="149"/>
      <c r="Y837" s="149"/>
      <c r="Z837" s="149"/>
    </row>
    <row r="838" spans="1:26" ht="14.25" customHeight="1" x14ac:dyDescent="0.35">
      <c r="A838" s="149"/>
      <c r="B838" s="149"/>
      <c r="C838" s="149"/>
      <c r="D838" s="149"/>
      <c r="E838" s="149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49"/>
      <c r="U838" s="149"/>
      <c r="V838" s="149"/>
      <c r="W838" s="149"/>
      <c r="X838" s="149"/>
      <c r="Y838" s="149"/>
      <c r="Z838" s="149"/>
    </row>
    <row r="839" spans="1:26" ht="14.25" customHeight="1" x14ac:dyDescent="0.3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49"/>
      <c r="U839" s="149"/>
      <c r="V839" s="149"/>
      <c r="W839" s="149"/>
      <c r="X839" s="149"/>
      <c r="Y839" s="149"/>
      <c r="Z839" s="149"/>
    </row>
    <row r="840" spans="1:26" ht="14.25" customHeight="1" x14ac:dyDescent="0.35">
      <c r="A840" s="149"/>
      <c r="B840" s="149"/>
      <c r="C840" s="149"/>
      <c r="D840" s="149"/>
      <c r="E840" s="149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  <c r="R840" s="149"/>
      <c r="S840" s="149"/>
      <c r="T840" s="149"/>
      <c r="U840" s="149"/>
      <c r="V840" s="149"/>
      <c r="W840" s="149"/>
      <c r="X840" s="149"/>
      <c r="Y840" s="149"/>
      <c r="Z840" s="149"/>
    </row>
    <row r="841" spans="1:26" ht="14.25" customHeight="1" x14ac:dyDescent="0.3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49"/>
      <c r="U841" s="149"/>
      <c r="V841" s="149"/>
      <c r="W841" s="149"/>
      <c r="X841" s="149"/>
      <c r="Y841" s="149"/>
      <c r="Z841" s="149"/>
    </row>
    <row r="842" spans="1:26" ht="14.25" customHeight="1" x14ac:dyDescent="0.35">
      <c r="A842" s="149"/>
      <c r="B842" s="149"/>
      <c r="C842" s="149"/>
      <c r="D842" s="149"/>
      <c r="E842" s="149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49"/>
      <c r="U842" s="149"/>
      <c r="V842" s="149"/>
      <c r="W842" s="149"/>
      <c r="X842" s="149"/>
      <c r="Y842" s="149"/>
      <c r="Z842" s="149"/>
    </row>
    <row r="843" spans="1:26" ht="14.25" customHeight="1" x14ac:dyDescent="0.3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49"/>
      <c r="U843" s="149"/>
      <c r="V843" s="149"/>
      <c r="W843" s="149"/>
      <c r="X843" s="149"/>
      <c r="Y843" s="149"/>
      <c r="Z843" s="149"/>
    </row>
    <row r="844" spans="1:26" ht="14.25" customHeight="1" x14ac:dyDescent="0.35">
      <c r="A844" s="149"/>
      <c r="B844" s="149"/>
      <c r="C844" s="149"/>
      <c r="D844" s="149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49"/>
      <c r="U844" s="149"/>
      <c r="V844" s="149"/>
      <c r="W844" s="149"/>
      <c r="X844" s="149"/>
      <c r="Y844" s="149"/>
      <c r="Z844" s="149"/>
    </row>
    <row r="845" spans="1:26" ht="14.25" customHeight="1" x14ac:dyDescent="0.3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49"/>
      <c r="U845" s="149"/>
      <c r="V845" s="149"/>
      <c r="W845" s="149"/>
      <c r="X845" s="149"/>
      <c r="Y845" s="149"/>
      <c r="Z845" s="149"/>
    </row>
    <row r="846" spans="1:26" ht="14.25" customHeight="1" x14ac:dyDescent="0.35">
      <c r="A846" s="149"/>
      <c r="B846" s="149"/>
      <c r="C846" s="149"/>
      <c r="D846" s="149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  <c r="R846" s="149"/>
      <c r="S846" s="149"/>
      <c r="T846" s="149"/>
      <c r="U846" s="149"/>
      <c r="V846" s="149"/>
      <c r="W846" s="149"/>
      <c r="X846" s="149"/>
      <c r="Y846" s="149"/>
      <c r="Z846" s="149"/>
    </row>
    <row r="847" spans="1:26" ht="14.25" customHeight="1" x14ac:dyDescent="0.3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  <c r="Z847" s="149"/>
    </row>
    <row r="848" spans="1:26" ht="14.25" customHeight="1" x14ac:dyDescent="0.35">
      <c r="A848" s="149"/>
      <c r="B848" s="149"/>
      <c r="C848" s="149"/>
      <c r="D848" s="149"/>
      <c r="E848" s="149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  <c r="Z848" s="149"/>
    </row>
    <row r="849" spans="1:26" ht="14.25" customHeight="1" x14ac:dyDescent="0.3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  <c r="Z849" s="149"/>
    </row>
    <row r="850" spans="1:26" ht="14.25" customHeight="1" x14ac:dyDescent="0.35">
      <c r="A850" s="149"/>
      <c r="B850" s="149"/>
      <c r="C850" s="149"/>
      <c r="D850" s="149"/>
      <c r="E850" s="149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  <c r="Z850" s="149"/>
    </row>
    <row r="851" spans="1:26" ht="14.25" customHeight="1" x14ac:dyDescent="0.3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49"/>
      <c r="U851" s="149"/>
      <c r="V851" s="149"/>
      <c r="W851" s="149"/>
      <c r="X851" s="149"/>
      <c r="Y851" s="149"/>
      <c r="Z851" s="149"/>
    </row>
    <row r="852" spans="1:26" ht="14.25" customHeight="1" x14ac:dyDescent="0.35">
      <c r="A852" s="149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  <c r="R852" s="149"/>
      <c r="S852" s="149"/>
      <c r="T852" s="149"/>
      <c r="U852" s="149"/>
      <c r="V852" s="149"/>
      <c r="W852" s="149"/>
      <c r="X852" s="149"/>
      <c r="Y852" s="149"/>
      <c r="Z852" s="149"/>
    </row>
    <row r="853" spans="1:26" ht="14.25" customHeight="1" x14ac:dyDescent="0.3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  <c r="Z853" s="149"/>
    </row>
    <row r="854" spans="1:26" ht="14.25" customHeight="1" x14ac:dyDescent="0.35">
      <c r="A854" s="149"/>
      <c r="B854" s="149"/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  <c r="Z854" s="149"/>
    </row>
    <row r="855" spans="1:26" ht="14.25" customHeight="1" x14ac:dyDescent="0.3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  <c r="Z855" s="149"/>
    </row>
    <row r="856" spans="1:26" ht="14.25" customHeight="1" x14ac:dyDescent="0.35">
      <c r="A856" s="149"/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49"/>
      <c r="U856" s="149"/>
      <c r="V856" s="149"/>
      <c r="W856" s="149"/>
      <c r="X856" s="149"/>
      <c r="Y856" s="149"/>
      <c r="Z856" s="149"/>
    </row>
    <row r="857" spans="1:26" ht="14.25" customHeight="1" x14ac:dyDescent="0.3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49"/>
      <c r="U857" s="149"/>
      <c r="V857" s="149"/>
      <c r="W857" s="149"/>
      <c r="X857" s="149"/>
      <c r="Y857" s="149"/>
      <c r="Z857" s="149"/>
    </row>
    <row r="858" spans="1:26" ht="14.25" customHeight="1" x14ac:dyDescent="0.35">
      <c r="A858" s="149"/>
      <c r="B858" s="149"/>
      <c r="C858" s="149"/>
      <c r="D858" s="149"/>
      <c r="E858" s="149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  <c r="R858" s="149"/>
      <c r="S858" s="149"/>
      <c r="T858" s="149"/>
      <c r="U858" s="149"/>
      <c r="V858" s="149"/>
      <c r="W858" s="149"/>
      <c r="X858" s="149"/>
      <c r="Y858" s="149"/>
      <c r="Z858" s="149"/>
    </row>
    <row r="859" spans="1:26" ht="14.25" customHeight="1" x14ac:dyDescent="0.3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49"/>
      <c r="U859" s="149"/>
      <c r="V859" s="149"/>
      <c r="W859" s="149"/>
      <c r="X859" s="149"/>
      <c r="Y859" s="149"/>
      <c r="Z859" s="149"/>
    </row>
    <row r="860" spans="1:26" ht="14.25" customHeight="1" x14ac:dyDescent="0.35">
      <c r="A860" s="149"/>
      <c r="B860" s="149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  <c r="Z860" s="149"/>
    </row>
    <row r="861" spans="1:26" ht="14.25" customHeight="1" x14ac:dyDescent="0.3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49"/>
      <c r="U861" s="149"/>
      <c r="V861" s="149"/>
      <c r="W861" s="149"/>
      <c r="X861" s="149"/>
      <c r="Y861" s="149"/>
      <c r="Z861" s="149"/>
    </row>
    <row r="862" spans="1:26" ht="14.25" customHeight="1" x14ac:dyDescent="0.35">
      <c r="A862" s="149"/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  <c r="Z862" s="149"/>
    </row>
    <row r="863" spans="1:26" ht="14.25" customHeight="1" x14ac:dyDescent="0.3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  <c r="Z863" s="149"/>
    </row>
    <row r="864" spans="1:26" ht="14.25" customHeight="1" x14ac:dyDescent="0.35">
      <c r="A864" s="149"/>
      <c r="B864" s="149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  <c r="Z864" s="149"/>
    </row>
    <row r="865" spans="1:26" ht="14.25" customHeight="1" x14ac:dyDescent="0.3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49"/>
      <c r="U865" s="149"/>
      <c r="V865" s="149"/>
      <c r="W865" s="149"/>
      <c r="X865" s="149"/>
      <c r="Y865" s="149"/>
      <c r="Z865" s="149"/>
    </row>
    <row r="866" spans="1:26" ht="14.25" customHeight="1" x14ac:dyDescent="0.35">
      <c r="A866" s="149"/>
      <c r="B866" s="149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49"/>
      <c r="U866" s="149"/>
      <c r="V866" s="149"/>
      <c r="W866" s="149"/>
      <c r="X866" s="149"/>
      <c r="Y866" s="149"/>
      <c r="Z866" s="149"/>
    </row>
    <row r="867" spans="1:26" ht="14.25" customHeight="1" x14ac:dyDescent="0.3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49"/>
      <c r="U867" s="149"/>
      <c r="V867" s="149"/>
      <c r="W867" s="149"/>
      <c r="X867" s="149"/>
      <c r="Y867" s="149"/>
      <c r="Z867" s="149"/>
    </row>
    <row r="868" spans="1:26" ht="14.25" customHeight="1" x14ac:dyDescent="0.35">
      <c r="A868" s="149"/>
      <c r="B868" s="149"/>
      <c r="C868" s="149"/>
      <c r="D868" s="149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49"/>
      <c r="U868" s="149"/>
      <c r="V868" s="149"/>
      <c r="W868" s="149"/>
      <c r="X868" s="149"/>
      <c r="Y868" s="149"/>
      <c r="Z868" s="149"/>
    </row>
    <row r="869" spans="1:26" ht="14.25" customHeight="1" x14ac:dyDescent="0.3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49"/>
      <c r="U869" s="149"/>
      <c r="V869" s="149"/>
      <c r="W869" s="149"/>
      <c r="X869" s="149"/>
      <c r="Y869" s="149"/>
      <c r="Z869" s="149"/>
    </row>
    <row r="870" spans="1:26" ht="14.25" customHeight="1" x14ac:dyDescent="0.35">
      <c r="A870" s="149"/>
      <c r="B870" s="149"/>
      <c r="C870" s="149"/>
      <c r="D870" s="149"/>
      <c r="E870" s="149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49"/>
      <c r="U870" s="149"/>
      <c r="V870" s="149"/>
      <c r="W870" s="149"/>
      <c r="X870" s="149"/>
      <c r="Y870" s="149"/>
      <c r="Z870" s="149"/>
    </row>
    <row r="871" spans="1:26" ht="14.25" customHeight="1" x14ac:dyDescent="0.3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49"/>
      <c r="U871" s="149"/>
      <c r="V871" s="149"/>
      <c r="W871" s="149"/>
      <c r="X871" s="149"/>
      <c r="Y871" s="149"/>
      <c r="Z871" s="149"/>
    </row>
    <row r="872" spans="1:26" ht="14.25" customHeight="1" x14ac:dyDescent="0.35">
      <c r="A872" s="149"/>
      <c r="B872" s="149"/>
      <c r="C872" s="149"/>
      <c r="D872" s="149"/>
      <c r="E872" s="149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  <c r="R872" s="149"/>
      <c r="S872" s="149"/>
      <c r="T872" s="149"/>
      <c r="U872" s="149"/>
      <c r="V872" s="149"/>
      <c r="W872" s="149"/>
      <c r="X872" s="149"/>
      <c r="Y872" s="149"/>
      <c r="Z872" s="149"/>
    </row>
    <row r="873" spans="1:26" ht="14.25" customHeight="1" x14ac:dyDescent="0.3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49"/>
      <c r="U873" s="149"/>
      <c r="V873" s="149"/>
      <c r="W873" s="149"/>
      <c r="X873" s="149"/>
      <c r="Y873" s="149"/>
      <c r="Z873" s="149"/>
    </row>
    <row r="874" spans="1:26" ht="14.25" customHeight="1" x14ac:dyDescent="0.35">
      <c r="A874" s="149"/>
      <c r="B874" s="149"/>
      <c r="C874" s="149"/>
      <c r="D874" s="149"/>
      <c r="E874" s="149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  <c r="U874" s="149"/>
      <c r="V874" s="149"/>
      <c r="W874" s="149"/>
      <c r="X874" s="149"/>
      <c r="Y874" s="149"/>
      <c r="Z874" s="149"/>
    </row>
    <row r="875" spans="1:26" ht="14.25" customHeight="1" x14ac:dyDescent="0.3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  <c r="V875" s="149"/>
      <c r="W875" s="149"/>
      <c r="X875" s="149"/>
      <c r="Y875" s="149"/>
      <c r="Z875" s="149"/>
    </row>
    <row r="876" spans="1:26" ht="14.25" customHeight="1" x14ac:dyDescent="0.35">
      <c r="A876" s="149"/>
      <c r="B876" s="149"/>
      <c r="C876" s="149"/>
      <c r="D876" s="149"/>
      <c r="E876" s="149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49"/>
      <c r="U876" s="149"/>
      <c r="V876" s="149"/>
      <c r="W876" s="149"/>
      <c r="X876" s="149"/>
      <c r="Y876" s="149"/>
      <c r="Z876" s="149"/>
    </row>
    <row r="877" spans="1:26" ht="14.25" customHeight="1" x14ac:dyDescent="0.3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  <c r="V877" s="149"/>
      <c r="W877" s="149"/>
      <c r="X877" s="149"/>
      <c r="Y877" s="149"/>
      <c r="Z877" s="149"/>
    </row>
    <row r="878" spans="1:26" ht="14.25" customHeight="1" x14ac:dyDescent="0.35">
      <c r="A878" s="149"/>
      <c r="B878" s="149"/>
      <c r="C878" s="149"/>
      <c r="D878" s="149"/>
      <c r="E878" s="149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/>
      <c r="Z878" s="149"/>
    </row>
    <row r="879" spans="1:26" ht="14.25" customHeight="1" x14ac:dyDescent="0.3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  <c r="V879" s="149"/>
      <c r="W879" s="149"/>
      <c r="X879" s="149"/>
      <c r="Y879" s="149"/>
      <c r="Z879" s="149"/>
    </row>
    <row r="880" spans="1:26" ht="14.25" customHeight="1" x14ac:dyDescent="0.35">
      <c r="A880" s="149"/>
      <c r="B880" s="149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  <c r="V880" s="149"/>
      <c r="W880" s="149"/>
      <c r="X880" s="149"/>
      <c r="Y880" s="149"/>
      <c r="Z880" s="149"/>
    </row>
    <row r="881" spans="1:26" ht="14.25" customHeight="1" x14ac:dyDescent="0.3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  <c r="V881" s="149"/>
      <c r="W881" s="149"/>
      <c r="X881" s="149"/>
      <c r="Y881" s="149"/>
      <c r="Z881" s="149"/>
    </row>
    <row r="882" spans="1:26" ht="14.25" customHeight="1" x14ac:dyDescent="0.35">
      <c r="A882" s="149"/>
      <c r="B882" s="149"/>
      <c r="C882" s="149"/>
      <c r="D882" s="149"/>
      <c r="E882" s="149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  <c r="Z882" s="149"/>
    </row>
    <row r="883" spans="1:26" ht="14.25" customHeight="1" x14ac:dyDescent="0.3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  <c r="Z883" s="149"/>
    </row>
    <row r="884" spans="1:26" ht="14.25" customHeight="1" x14ac:dyDescent="0.35">
      <c r="A884" s="149"/>
      <c r="B884" s="149"/>
      <c r="C884" s="149"/>
      <c r="D884" s="149"/>
      <c r="E884" s="149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149"/>
      <c r="W884" s="149"/>
      <c r="X884" s="149"/>
      <c r="Y884" s="149"/>
      <c r="Z884" s="149"/>
    </row>
    <row r="885" spans="1:26" ht="14.25" customHeight="1" x14ac:dyDescent="0.3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49"/>
      <c r="U885" s="149"/>
      <c r="V885" s="149"/>
      <c r="W885" s="149"/>
      <c r="X885" s="149"/>
      <c r="Y885" s="149"/>
      <c r="Z885" s="149"/>
    </row>
    <row r="886" spans="1:26" ht="14.25" customHeight="1" x14ac:dyDescent="0.35">
      <c r="A886" s="149"/>
      <c r="B886" s="149"/>
      <c r="C886" s="149"/>
      <c r="D886" s="149"/>
      <c r="E886" s="149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  <c r="R886" s="149"/>
      <c r="S886" s="149"/>
      <c r="T886" s="149"/>
      <c r="U886" s="149"/>
      <c r="V886" s="149"/>
      <c r="W886" s="149"/>
      <c r="X886" s="149"/>
      <c r="Y886" s="149"/>
      <c r="Z886" s="149"/>
    </row>
    <row r="887" spans="1:26" ht="14.25" customHeight="1" x14ac:dyDescent="0.3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  <c r="Z887" s="149"/>
    </row>
    <row r="888" spans="1:26" ht="14.25" customHeight="1" x14ac:dyDescent="0.35">
      <c r="A888" s="149"/>
      <c r="B888" s="149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  <c r="Z888" s="149"/>
    </row>
    <row r="889" spans="1:26" ht="14.25" customHeight="1" x14ac:dyDescent="0.3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  <c r="Z889" s="149"/>
    </row>
    <row r="890" spans="1:26" ht="14.25" customHeight="1" x14ac:dyDescent="0.35">
      <c r="A890" s="149"/>
      <c r="B890" s="149"/>
      <c r="C890" s="149"/>
      <c r="D890" s="149"/>
      <c r="E890" s="149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49"/>
      <c r="U890" s="149"/>
      <c r="V890" s="149"/>
      <c r="W890" s="149"/>
      <c r="X890" s="149"/>
      <c r="Y890" s="149"/>
      <c r="Z890" s="149"/>
    </row>
    <row r="891" spans="1:26" ht="14.25" customHeight="1" x14ac:dyDescent="0.3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49"/>
      <c r="U891" s="149"/>
      <c r="V891" s="149"/>
      <c r="W891" s="149"/>
      <c r="X891" s="149"/>
      <c r="Y891" s="149"/>
      <c r="Z891" s="149"/>
    </row>
    <row r="892" spans="1:26" ht="14.25" customHeight="1" x14ac:dyDescent="0.35">
      <c r="A892" s="149"/>
      <c r="B892" s="149"/>
      <c r="C892" s="149"/>
      <c r="D892" s="149"/>
      <c r="E892" s="149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  <c r="R892" s="149"/>
      <c r="S892" s="149"/>
      <c r="T892" s="149"/>
      <c r="U892" s="149"/>
      <c r="V892" s="149"/>
      <c r="W892" s="149"/>
      <c r="X892" s="149"/>
      <c r="Y892" s="149"/>
      <c r="Z892" s="149"/>
    </row>
    <row r="893" spans="1:26" ht="14.25" customHeight="1" x14ac:dyDescent="0.3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  <c r="Z893" s="149"/>
    </row>
    <row r="894" spans="1:26" ht="14.25" customHeight="1" x14ac:dyDescent="0.35">
      <c r="A894" s="149"/>
      <c r="B894" s="149"/>
      <c r="C894" s="149"/>
      <c r="D894" s="149"/>
      <c r="E894" s="149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  <c r="Z894" s="149"/>
    </row>
    <row r="895" spans="1:26" ht="14.25" customHeight="1" x14ac:dyDescent="0.3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49"/>
      <c r="U895" s="149"/>
      <c r="V895" s="149"/>
      <c r="W895" s="149"/>
      <c r="X895" s="149"/>
      <c r="Y895" s="149"/>
      <c r="Z895" s="149"/>
    </row>
    <row r="896" spans="1:26" ht="14.25" customHeight="1" x14ac:dyDescent="0.35">
      <c r="A896" s="149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49"/>
      <c r="U896" s="149"/>
      <c r="V896" s="149"/>
      <c r="W896" s="149"/>
      <c r="X896" s="149"/>
      <c r="Y896" s="149"/>
      <c r="Z896" s="149"/>
    </row>
    <row r="897" spans="1:26" ht="14.25" customHeight="1" x14ac:dyDescent="0.3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  <c r="Z897" s="149"/>
    </row>
    <row r="898" spans="1:26" ht="14.25" customHeight="1" x14ac:dyDescent="0.35">
      <c r="A898" s="149"/>
      <c r="B898" s="149"/>
      <c r="C898" s="149"/>
      <c r="D898" s="149"/>
      <c r="E898" s="149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  <c r="Z898" s="149"/>
    </row>
    <row r="899" spans="1:26" ht="14.25" customHeight="1" x14ac:dyDescent="0.3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49"/>
      <c r="U899" s="149"/>
      <c r="V899" s="149"/>
      <c r="W899" s="149"/>
      <c r="X899" s="149"/>
      <c r="Y899" s="149"/>
      <c r="Z899" s="149"/>
    </row>
    <row r="900" spans="1:26" ht="14.25" customHeight="1" x14ac:dyDescent="0.35">
      <c r="A900" s="149"/>
      <c r="B900" s="149"/>
      <c r="C900" s="149"/>
      <c r="D900" s="149"/>
      <c r="E900" s="149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49"/>
      <c r="U900" s="149"/>
      <c r="V900" s="149"/>
      <c r="W900" s="149"/>
      <c r="X900" s="149"/>
      <c r="Y900" s="149"/>
      <c r="Z900" s="149"/>
    </row>
    <row r="901" spans="1:26" ht="14.25" customHeight="1" x14ac:dyDescent="0.3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49"/>
      <c r="U901" s="149"/>
      <c r="V901" s="149"/>
      <c r="W901" s="149"/>
      <c r="X901" s="149"/>
      <c r="Y901" s="149"/>
      <c r="Z901" s="149"/>
    </row>
    <row r="902" spans="1:26" ht="14.25" customHeight="1" x14ac:dyDescent="0.35">
      <c r="A902" s="149"/>
      <c r="B902" s="149"/>
      <c r="C902" s="149"/>
      <c r="D902" s="149"/>
      <c r="E902" s="149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  <c r="Z902" s="149"/>
    </row>
    <row r="903" spans="1:26" ht="14.25" customHeight="1" x14ac:dyDescent="0.3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  <c r="Z903" s="149"/>
    </row>
    <row r="904" spans="1:26" ht="14.25" customHeight="1" x14ac:dyDescent="0.35">
      <c r="A904" s="149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  <c r="R904" s="149"/>
      <c r="S904" s="149"/>
      <c r="T904" s="149"/>
      <c r="U904" s="149"/>
      <c r="V904" s="149"/>
      <c r="W904" s="149"/>
      <c r="X904" s="149"/>
      <c r="Y904" s="149"/>
      <c r="Z904" s="149"/>
    </row>
    <row r="905" spans="1:26" ht="14.25" customHeight="1" x14ac:dyDescent="0.3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49"/>
      <c r="U905" s="149"/>
      <c r="V905" s="149"/>
      <c r="W905" s="149"/>
      <c r="X905" s="149"/>
      <c r="Y905" s="149"/>
      <c r="Z905" s="149"/>
    </row>
    <row r="906" spans="1:26" ht="14.25" customHeight="1" x14ac:dyDescent="0.35">
      <c r="A906" s="149"/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49"/>
      <c r="U906" s="149"/>
      <c r="V906" s="149"/>
      <c r="W906" s="149"/>
      <c r="X906" s="149"/>
      <c r="Y906" s="149"/>
      <c r="Z906" s="149"/>
    </row>
    <row r="907" spans="1:26" ht="14.25" customHeight="1" x14ac:dyDescent="0.3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49"/>
      <c r="U907" s="149"/>
      <c r="V907" s="149"/>
      <c r="W907" s="149"/>
      <c r="X907" s="149"/>
      <c r="Y907" s="149"/>
      <c r="Z907" s="149"/>
    </row>
    <row r="908" spans="1:26" ht="14.25" customHeight="1" x14ac:dyDescent="0.35">
      <c r="A908" s="149"/>
      <c r="B908" s="149"/>
      <c r="C908" s="149"/>
      <c r="D908" s="149"/>
      <c r="E908" s="149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49"/>
      <c r="U908" s="149"/>
      <c r="V908" s="149"/>
      <c r="W908" s="149"/>
      <c r="X908" s="149"/>
      <c r="Y908" s="149"/>
      <c r="Z908" s="149"/>
    </row>
    <row r="909" spans="1:26" ht="14.25" customHeight="1" x14ac:dyDescent="0.3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49"/>
      <c r="U909" s="149"/>
      <c r="V909" s="149"/>
      <c r="W909" s="149"/>
      <c r="X909" s="149"/>
      <c r="Y909" s="149"/>
      <c r="Z909" s="149"/>
    </row>
    <row r="910" spans="1:26" ht="14.25" customHeight="1" x14ac:dyDescent="0.35">
      <c r="A910" s="149"/>
      <c r="B910" s="149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49"/>
      <c r="U910" s="149"/>
      <c r="V910" s="149"/>
      <c r="W910" s="149"/>
      <c r="X910" s="149"/>
      <c r="Y910" s="149"/>
      <c r="Z910" s="149"/>
    </row>
    <row r="911" spans="1:26" ht="14.25" customHeight="1" x14ac:dyDescent="0.3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49"/>
      <c r="U911" s="149"/>
      <c r="V911" s="149"/>
      <c r="W911" s="149"/>
      <c r="X911" s="149"/>
      <c r="Y911" s="149"/>
      <c r="Z911" s="149"/>
    </row>
    <row r="912" spans="1:26" ht="14.25" customHeight="1" x14ac:dyDescent="0.35">
      <c r="A912" s="149"/>
      <c r="B912" s="149"/>
      <c r="C912" s="149"/>
      <c r="D912" s="149"/>
      <c r="E912" s="149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  <c r="Z912" s="149"/>
    </row>
    <row r="913" spans="1:26" ht="14.25" customHeight="1" x14ac:dyDescent="0.3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  <c r="Z913" s="149"/>
    </row>
    <row r="914" spans="1:26" ht="14.25" customHeight="1" x14ac:dyDescent="0.35">
      <c r="A914" s="149"/>
      <c r="B914" s="149"/>
      <c r="C914" s="149"/>
      <c r="D914" s="149"/>
      <c r="E914" s="149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  <c r="Z914" s="149"/>
    </row>
    <row r="915" spans="1:26" ht="14.25" customHeight="1" x14ac:dyDescent="0.3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  <c r="Z915" s="149"/>
    </row>
    <row r="916" spans="1:26" ht="14.25" customHeight="1" x14ac:dyDescent="0.35">
      <c r="A916" s="149"/>
      <c r="B916" s="149"/>
      <c r="C916" s="149"/>
      <c r="D916" s="149"/>
      <c r="E916" s="149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  <c r="R916" s="149"/>
      <c r="S916" s="149"/>
      <c r="T916" s="149"/>
      <c r="U916" s="149"/>
      <c r="V916" s="149"/>
      <c r="W916" s="149"/>
      <c r="X916" s="149"/>
      <c r="Y916" s="149"/>
      <c r="Z916" s="149"/>
    </row>
    <row r="917" spans="1:26" ht="14.25" customHeight="1" x14ac:dyDescent="0.3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49"/>
      <c r="U917" s="149"/>
      <c r="V917" s="149"/>
      <c r="W917" s="149"/>
      <c r="X917" s="149"/>
      <c r="Y917" s="149"/>
      <c r="Z917" s="149"/>
    </row>
    <row r="918" spans="1:26" ht="14.25" customHeight="1" x14ac:dyDescent="0.35">
      <c r="A918" s="149"/>
      <c r="B918" s="149"/>
      <c r="C918" s="149"/>
      <c r="D918" s="149"/>
      <c r="E918" s="149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  <c r="Z918" s="149"/>
    </row>
    <row r="919" spans="1:26" ht="14.25" customHeight="1" x14ac:dyDescent="0.3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  <c r="Z919" s="149"/>
    </row>
    <row r="920" spans="1:26" ht="14.25" customHeight="1" x14ac:dyDescent="0.35">
      <c r="A920" s="149"/>
      <c r="B920" s="149"/>
      <c r="C920" s="149"/>
      <c r="D920" s="149"/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  <c r="Z920" s="149"/>
    </row>
    <row r="921" spans="1:26" ht="14.25" customHeight="1" x14ac:dyDescent="0.3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  <c r="Z921" s="149"/>
    </row>
    <row r="922" spans="1:26" ht="14.25" customHeight="1" x14ac:dyDescent="0.35">
      <c r="A922" s="149"/>
      <c r="B922" s="149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49"/>
      <c r="U922" s="149"/>
      <c r="V922" s="149"/>
      <c r="W922" s="149"/>
      <c r="X922" s="149"/>
      <c r="Y922" s="149"/>
      <c r="Z922" s="149"/>
    </row>
    <row r="923" spans="1:26" ht="14.25" customHeight="1" x14ac:dyDescent="0.3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  <c r="Z923" s="149"/>
    </row>
    <row r="924" spans="1:26" ht="14.25" customHeight="1" x14ac:dyDescent="0.35">
      <c r="A924" s="149"/>
      <c r="B924" s="149"/>
      <c r="C924" s="149"/>
      <c r="D924" s="149"/>
      <c r="E924" s="149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  <c r="Z924" s="149"/>
    </row>
    <row r="925" spans="1:26" ht="14.25" customHeight="1" x14ac:dyDescent="0.3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  <c r="Z925" s="149"/>
    </row>
    <row r="926" spans="1:26" ht="14.25" customHeight="1" x14ac:dyDescent="0.35">
      <c r="A926" s="149"/>
      <c r="B926" s="149"/>
      <c r="C926" s="149"/>
      <c r="D926" s="149"/>
      <c r="E926" s="149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  <c r="Z926" s="149"/>
    </row>
    <row r="927" spans="1:26" ht="14.25" customHeight="1" x14ac:dyDescent="0.3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  <c r="Z927" s="149"/>
    </row>
    <row r="928" spans="1:26" ht="14.25" customHeight="1" x14ac:dyDescent="0.35">
      <c r="A928" s="149"/>
      <c r="B928" s="149"/>
      <c r="C928" s="149"/>
      <c r="D928" s="149"/>
      <c r="E928" s="149"/>
      <c r="F928" s="149"/>
      <c r="G928" s="149"/>
      <c r="H928" s="149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  <c r="Z928" s="149"/>
    </row>
    <row r="929" spans="1:26" ht="14.25" customHeight="1" x14ac:dyDescent="0.3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</row>
    <row r="930" spans="1:26" ht="14.25" customHeight="1" x14ac:dyDescent="0.35">
      <c r="A930" s="149"/>
      <c r="B930" s="149"/>
      <c r="C930" s="149"/>
      <c r="D930" s="149"/>
      <c r="E930" s="149"/>
      <c r="F930" s="149"/>
      <c r="G930" s="149"/>
      <c r="H930" s="149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</row>
    <row r="931" spans="1:26" ht="14.25" customHeight="1" x14ac:dyDescent="0.3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  <c r="Z931" s="149"/>
    </row>
    <row r="932" spans="1:26" ht="14.25" customHeight="1" x14ac:dyDescent="0.35">
      <c r="A932" s="149"/>
      <c r="B932" s="149"/>
      <c r="C932" s="149"/>
      <c r="D932" s="149"/>
      <c r="E932" s="149"/>
      <c r="F932" s="149"/>
      <c r="G932" s="149"/>
      <c r="H932" s="149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  <c r="Z932" s="149"/>
    </row>
    <row r="933" spans="1:26" ht="14.25" customHeight="1" x14ac:dyDescent="0.3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  <c r="Z933" s="149"/>
    </row>
    <row r="934" spans="1:26" ht="14.25" customHeight="1" x14ac:dyDescent="0.35">
      <c r="A934" s="149"/>
      <c r="B934" s="149"/>
      <c r="C934" s="149"/>
      <c r="D934" s="149"/>
      <c r="E934" s="149"/>
      <c r="F934" s="149"/>
      <c r="G934" s="149"/>
      <c r="H934" s="149"/>
      <c r="I934" s="149"/>
      <c r="J934" s="149"/>
      <c r="K934" s="149"/>
      <c r="L934" s="149"/>
      <c r="M934" s="149"/>
      <c r="N934" s="149"/>
      <c r="O934" s="149"/>
      <c r="P934" s="149"/>
      <c r="Q934" s="149"/>
      <c r="R934" s="149"/>
      <c r="S934" s="149"/>
      <c r="T934" s="149"/>
      <c r="U934" s="149"/>
      <c r="V934" s="149"/>
      <c r="W934" s="149"/>
      <c r="X934" s="149"/>
      <c r="Y934" s="149"/>
      <c r="Z934" s="149"/>
    </row>
    <row r="935" spans="1:26" ht="14.25" customHeight="1" x14ac:dyDescent="0.3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49"/>
      <c r="U935" s="149"/>
      <c r="V935" s="149"/>
      <c r="W935" s="149"/>
      <c r="X935" s="149"/>
      <c r="Y935" s="149"/>
      <c r="Z935" s="149"/>
    </row>
    <row r="936" spans="1:26" ht="14.25" customHeight="1" x14ac:dyDescent="0.35">
      <c r="A936" s="149"/>
      <c r="B936" s="149"/>
      <c r="C936" s="149"/>
      <c r="D936" s="149"/>
      <c r="E936" s="149"/>
      <c r="F936" s="149"/>
      <c r="G936" s="149"/>
      <c r="H936" s="149"/>
      <c r="I936" s="14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49"/>
      <c r="U936" s="149"/>
      <c r="V936" s="149"/>
      <c r="W936" s="149"/>
      <c r="X936" s="149"/>
      <c r="Y936" s="149"/>
      <c r="Z936" s="149"/>
    </row>
    <row r="937" spans="1:26" ht="14.25" customHeight="1" x14ac:dyDescent="0.3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49"/>
      <c r="U937" s="149"/>
      <c r="V937" s="149"/>
      <c r="W937" s="149"/>
      <c r="X937" s="149"/>
      <c r="Y937" s="149"/>
      <c r="Z937" s="149"/>
    </row>
    <row r="938" spans="1:26" ht="14.25" customHeight="1" x14ac:dyDescent="0.35">
      <c r="A938" s="149"/>
      <c r="B938" s="149"/>
      <c r="C938" s="149"/>
      <c r="D938" s="149"/>
      <c r="E938" s="149"/>
      <c r="F938" s="149"/>
      <c r="G938" s="149"/>
      <c r="H938" s="149"/>
      <c r="I938" s="149"/>
      <c r="J938" s="149"/>
      <c r="K938" s="149"/>
      <c r="L938" s="149"/>
      <c r="M938" s="149"/>
      <c r="N938" s="149"/>
      <c r="O938" s="149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  <c r="Z938" s="149"/>
    </row>
    <row r="939" spans="1:26" ht="14.25" customHeight="1" x14ac:dyDescent="0.3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  <c r="Z939" s="149"/>
    </row>
    <row r="940" spans="1:26" ht="14.25" customHeight="1" x14ac:dyDescent="0.35">
      <c r="A940" s="149"/>
      <c r="B940" s="149"/>
      <c r="C940" s="149"/>
      <c r="D940" s="149"/>
      <c r="E940" s="149"/>
      <c r="F940" s="149"/>
      <c r="G940" s="149"/>
      <c r="H940" s="149"/>
      <c r="I940" s="14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49"/>
      <c r="U940" s="149"/>
      <c r="V940" s="149"/>
      <c r="W940" s="149"/>
      <c r="X940" s="149"/>
      <c r="Y940" s="149"/>
      <c r="Z940" s="149"/>
    </row>
    <row r="941" spans="1:26" ht="14.25" customHeight="1" x14ac:dyDescent="0.3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49"/>
      <c r="U941" s="149"/>
      <c r="V941" s="149"/>
      <c r="W941" s="149"/>
      <c r="X941" s="149"/>
      <c r="Y941" s="149"/>
      <c r="Z941" s="149"/>
    </row>
    <row r="942" spans="1:26" ht="14.25" customHeight="1" x14ac:dyDescent="0.35">
      <c r="A942" s="149"/>
      <c r="B942" s="149"/>
      <c r="C942" s="149"/>
      <c r="D942" s="149"/>
      <c r="E942" s="149"/>
      <c r="F942" s="149"/>
      <c r="G942" s="149"/>
      <c r="H942" s="149"/>
      <c r="I942" s="14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49"/>
      <c r="U942" s="149"/>
      <c r="V942" s="149"/>
      <c r="W942" s="149"/>
      <c r="X942" s="149"/>
      <c r="Y942" s="149"/>
      <c r="Z942" s="149"/>
    </row>
    <row r="943" spans="1:26" ht="14.25" customHeight="1" x14ac:dyDescent="0.3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49"/>
      <c r="U943" s="149"/>
      <c r="V943" s="149"/>
      <c r="W943" s="149"/>
      <c r="X943" s="149"/>
      <c r="Y943" s="149"/>
      <c r="Z943" s="149"/>
    </row>
    <row r="944" spans="1:26" ht="14.25" customHeight="1" x14ac:dyDescent="0.35">
      <c r="A944" s="149"/>
      <c r="B944" s="149"/>
      <c r="C944" s="149"/>
      <c r="D944" s="149"/>
      <c r="E944" s="149"/>
      <c r="F944" s="149"/>
      <c r="G944" s="149"/>
      <c r="H944" s="149"/>
      <c r="I944" s="149"/>
      <c r="J944" s="149"/>
      <c r="K944" s="149"/>
      <c r="L944" s="149"/>
      <c r="M944" s="149"/>
      <c r="N944" s="149"/>
      <c r="O944" s="149"/>
      <c r="P944" s="149"/>
      <c r="Q944" s="149"/>
      <c r="R944" s="149"/>
      <c r="S944" s="149"/>
      <c r="T944" s="149"/>
      <c r="U944" s="149"/>
      <c r="V944" s="149"/>
      <c r="W944" s="149"/>
      <c r="X944" s="149"/>
      <c r="Y944" s="149"/>
      <c r="Z944" s="149"/>
    </row>
    <row r="945" spans="1:26" ht="14.25" customHeight="1" x14ac:dyDescent="0.3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49"/>
      <c r="U945" s="149"/>
      <c r="V945" s="149"/>
      <c r="W945" s="149"/>
      <c r="X945" s="149"/>
      <c r="Y945" s="149"/>
      <c r="Z945" s="149"/>
    </row>
    <row r="946" spans="1:26" ht="14.25" customHeight="1" x14ac:dyDescent="0.35">
      <c r="A946" s="149"/>
      <c r="B946" s="149"/>
      <c r="C946" s="149"/>
      <c r="D946" s="149"/>
      <c r="E946" s="149"/>
      <c r="F946" s="149"/>
      <c r="G946" s="149"/>
      <c r="H946" s="149"/>
      <c r="I946" s="149"/>
      <c r="J946" s="149"/>
      <c r="K946" s="149"/>
      <c r="L946" s="149"/>
      <c r="M946" s="149"/>
      <c r="N946" s="149"/>
      <c r="O946" s="149"/>
      <c r="P946" s="149"/>
      <c r="Q946" s="149"/>
      <c r="R946" s="149"/>
      <c r="S946" s="149"/>
      <c r="T946" s="149"/>
      <c r="U946" s="149"/>
      <c r="V946" s="149"/>
      <c r="W946" s="149"/>
      <c r="X946" s="149"/>
      <c r="Y946" s="149"/>
      <c r="Z946" s="149"/>
    </row>
    <row r="947" spans="1:26" ht="14.25" customHeight="1" x14ac:dyDescent="0.3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49"/>
      <c r="U947" s="149"/>
      <c r="V947" s="149"/>
      <c r="W947" s="149"/>
      <c r="X947" s="149"/>
      <c r="Y947" s="149"/>
      <c r="Z947" s="149"/>
    </row>
    <row r="948" spans="1:26" ht="14.25" customHeight="1" x14ac:dyDescent="0.35">
      <c r="A948" s="149"/>
      <c r="B948" s="149"/>
      <c r="C948" s="149"/>
      <c r="D948" s="149"/>
      <c r="E948" s="149"/>
      <c r="F948" s="149"/>
      <c r="G948" s="149"/>
      <c r="H948" s="149"/>
      <c r="I948" s="149"/>
      <c r="J948" s="149"/>
      <c r="K948" s="149"/>
      <c r="L948" s="149"/>
      <c r="M948" s="149"/>
      <c r="N948" s="149"/>
      <c r="O948" s="149"/>
      <c r="P948" s="149"/>
      <c r="Q948" s="149"/>
      <c r="R948" s="149"/>
      <c r="S948" s="149"/>
      <c r="T948" s="149"/>
      <c r="U948" s="149"/>
      <c r="V948" s="149"/>
      <c r="W948" s="149"/>
      <c r="X948" s="149"/>
      <c r="Y948" s="149"/>
      <c r="Z948" s="149"/>
    </row>
    <row r="949" spans="1:26" ht="14.25" customHeight="1" x14ac:dyDescent="0.3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49"/>
      <c r="U949" s="149"/>
      <c r="V949" s="149"/>
      <c r="W949" s="149"/>
      <c r="X949" s="149"/>
      <c r="Y949" s="149"/>
      <c r="Z949" s="149"/>
    </row>
    <row r="950" spans="1:26" ht="14.25" customHeight="1" x14ac:dyDescent="0.35">
      <c r="A950" s="149"/>
      <c r="B950" s="149"/>
      <c r="C950" s="149"/>
      <c r="D950" s="149"/>
      <c r="E950" s="149"/>
      <c r="F950" s="149"/>
      <c r="G950" s="149"/>
      <c r="H950" s="149"/>
      <c r="I950" s="149"/>
      <c r="J950" s="149"/>
      <c r="K950" s="149"/>
      <c r="L950" s="149"/>
      <c r="M950" s="149"/>
      <c r="N950" s="149"/>
      <c r="O950" s="149"/>
      <c r="P950" s="149"/>
      <c r="Q950" s="149"/>
      <c r="R950" s="149"/>
      <c r="S950" s="149"/>
      <c r="T950" s="149"/>
      <c r="U950" s="149"/>
      <c r="V950" s="149"/>
      <c r="W950" s="149"/>
      <c r="X950" s="149"/>
      <c r="Y950" s="149"/>
      <c r="Z950" s="149"/>
    </row>
    <row r="951" spans="1:26" ht="14.25" customHeight="1" x14ac:dyDescent="0.3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49"/>
      <c r="U951" s="149"/>
      <c r="V951" s="149"/>
      <c r="W951" s="149"/>
      <c r="X951" s="149"/>
      <c r="Y951" s="149"/>
      <c r="Z951" s="149"/>
    </row>
    <row r="952" spans="1:26" ht="14.25" customHeight="1" x14ac:dyDescent="0.35">
      <c r="A952" s="149"/>
      <c r="B952" s="149"/>
      <c r="C952" s="149"/>
      <c r="D952" s="149"/>
      <c r="E952" s="149"/>
      <c r="F952" s="149"/>
      <c r="G952" s="149"/>
      <c r="H952" s="149"/>
      <c r="I952" s="149"/>
      <c r="J952" s="149"/>
      <c r="K952" s="149"/>
      <c r="L952" s="149"/>
      <c r="M952" s="149"/>
      <c r="N952" s="149"/>
      <c r="O952" s="149"/>
      <c r="P952" s="149"/>
      <c r="Q952" s="149"/>
      <c r="R952" s="149"/>
      <c r="S952" s="149"/>
      <c r="T952" s="149"/>
      <c r="U952" s="149"/>
      <c r="V952" s="149"/>
      <c r="W952" s="149"/>
      <c r="X952" s="149"/>
      <c r="Y952" s="149"/>
      <c r="Z952" s="149"/>
    </row>
    <row r="953" spans="1:26" ht="14.25" customHeight="1" x14ac:dyDescent="0.3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49"/>
      <c r="U953" s="149"/>
      <c r="V953" s="149"/>
      <c r="W953" s="149"/>
      <c r="X953" s="149"/>
      <c r="Y953" s="149"/>
      <c r="Z953" s="149"/>
    </row>
    <row r="954" spans="1:26" ht="14.25" customHeight="1" x14ac:dyDescent="0.35">
      <c r="A954" s="149"/>
      <c r="B954" s="149"/>
      <c r="C954" s="149"/>
      <c r="D954" s="149"/>
      <c r="E954" s="149"/>
      <c r="F954" s="149"/>
      <c r="G954" s="149"/>
      <c r="H954" s="149"/>
      <c r="I954" s="149"/>
      <c r="J954" s="149"/>
      <c r="K954" s="149"/>
      <c r="L954" s="149"/>
      <c r="M954" s="149"/>
      <c r="N954" s="149"/>
      <c r="O954" s="149"/>
      <c r="P954" s="149"/>
      <c r="Q954" s="149"/>
      <c r="R954" s="149"/>
      <c r="S954" s="149"/>
      <c r="T954" s="149"/>
      <c r="U954" s="149"/>
      <c r="V954" s="149"/>
      <c r="W954" s="149"/>
      <c r="X954" s="149"/>
      <c r="Y954" s="149"/>
      <c r="Z954" s="149"/>
    </row>
    <row r="955" spans="1:26" ht="14.25" customHeight="1" x14ac:dyDescent="0.3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49"/>
      <c r="U955" s="149"/>
      <c r="V955" s="149"/>
      <c r="W955" s="149"/>
      <c r="X955" s="149"/>
      <c r="Y955" s="149"/>
      <c r="Z955" s="149"/>
    </row>
    <row r="956" spans="1:26" ht="14.25" customHeight="1" x14ac:dyDescent="0.35">
      <c r="A956" s="149"/>
      <c r="B956" s="149"/>
      <c r="C956" s="149"/>
      <c r="D956" s="149"/>
      <c r="E956" s="149"/>
      <c r="F956" s="149"/>
      <c r="G956" s="149"/>
      <c r="H956" s="149"/>
      <c r="I956" s="14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49"/>
      <c r="U956" s="149"/>
      <c r="V956" s="149"/>
      <c r="W956" s="149"/>
      <c r="X956" s="149"/>
      <c r="Y956" s="149"/>
      <c r="Z956" s="149"/>
    </row>
    <row r="957" spans="1:26" ht="14.25" customHeight="1" x14ac:dyDescent="0.3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49"/>
      <c r="U957" s="149"/>
      <c r="V957" s="149"/>
      <c r="W957" s="149"/>
      <c r="X957" s="149"/>
      <c r="Y957" s="149"/>
      <c r="Z957" s="149"/>
    </row>
    <row r="958" spans="1:26" ht="14.25" customHeight="1" x14ac:dyDescent="0.35">
      <c r="A958" s="149"/>
      <c r="B958" s="149"/>
      <c r="C958" s="149"/>
      <c r="D958" s="149"/>
      <c r="E958" s="149"/>
      <c r="F958" s="149"/>
      <c r="G958" s="149"/>
      <c r="H958" s="149"/>
      <c r="I958" s="149"/>
      <c r="J958" s="149"/>
      <c r="K958" s="149"/>
      <c r="L958" s="149"/>
      <c r="M958" s="149"/>
      <c r="N958" s="149"/>
      <c r="O958" s="149"/>
      <c r="P958" s="149"/>
      <c r="Q958" s="149"/>
      <c r="R958" s="149"/>
      <c r="S958" s="149"/>
      <c r="T958" s="149"/>
      <c r="U958" s="149"/>
      <c r="V958" s="149"/>
      <c r="W958" s="149"/>
      <c r="X958" s="149"/>
      <c r="Y958" s="149"/>
      <c r="Z958" s="149"/>
    </row>
    <row r="959" spans="1:26" ht="14.25" customHeight="1" x14ac:dyDescent="0.3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49"/>
      <c r="U959" s="149"/>
      <c r="V959" s="149"/>
      <c r="W959" s="149"/>
      <c r="X959" s="149"/>
      <c r="Y959" s="149"/>
      <c r="Z959" s="149"/>
    </row>
    <row r="960" spans="1:26" ht="14.25" customHeight="1" x14ac:dyDescent="0.35">
      <c r="A960" s="149"/>
      <c r="B960" s="149"/>
      <c r="C960" s="149"/>
      <c r="D960" s="149"/>
      <c r="E960" s="149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149"/>
      <c r="Q960" s="149"/>
      <c r="R960" s="149"/>
      <c r="S960" s="149"/>
      <c r="T960" s="149"/>
      <c r="U960" s="149"/>
      <c r="V960" s="149"/>
      <c r="W960" s="149"/>
      <c r="X960" s="149"/>
      <c r="Y960" s="149"/>
      <c r="Z960" s="149"/>
    </row>
    <row r="961" spans="1:26" ht="14.25" customHeight="1" x14ac:dyDescent="0.3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  <c r="Z961" s="149"/>
    </row>
    <row r="962" spans="1:26" ht="14.25" customHeight="1" x14ac:dyDescent="0.35">
      <c r="A962" s="149"/>
      <c r="B962" s="149"/>
      <c r="C962" s="149"/>
      <c r="D962" s="149"/>
      <c r="E962" s="149"/>
      <c r="F962" s="149"/>
      <c r="G962" s="149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  <c r="Z962" s="149"/>
    </row>
    <row r="963" spans="1:26" ht="14.25" customHeight="1" x14ac:dyDescent="0.3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  <c r="Z963" s="149"/>
    </row>
    <row r="964" spans="1:26" ht="14.25" customHeight="1" x14ac:dyDescent="0.35">
      <c r="A964" s="149"/>
      <c r="B964" s="149"/>
      <c r="C964" s="149"/>
      <c r="D964" s="149"/>
      <c r="E964" s="149"/>
      <c r="F964" s="149"/>
      <c r="G964" s="149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49"/>
      <c r="U964" s="149"/>
      <c r="V964" s="149"/>
      <c r="W964" s="149"/>
      <c r="X964" s="149"/>
      <c r="Y964" s="149"/>
      <c r="Z964" s="149"/>
    </row>
    <row r="965" spans="1:26" ht="14.25" customHeight="1" x14ac:dyDescent="0.3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49"/>
      <c r="U965" s="149"/>
      <c r="V965" s="149"/>
      <c r="W965" s="149"/>
      <c r="X965" s="149"/>
      <c r="Y965" s="149"/>
      <c r="Z965" s="149"/>
    </row>
    <row r="966" spans="1:26" ht="14.25" customHeight="1" x14ac:dyDescent="0.35">
      <c r="A966" s="149"/>
      <c r="B966" s="149"/>
      <c r="C966" s="149"/>
      <c r="D966" s="149"/>
      <c r="E966" s="149"/>
      <c r="F966" s="149"/>
      <c r="G966" s="149"/>
      <c r="H966" s="149"/>
      <c r="I966" s="149"/>
      <c r="J966" s="149"/>
      <c r="K966" s="149"/>
      <c r="L966" s="149"/>
      <c r="M966" s="149"/>
      <c r="N966" s="149"/>
      <c r="O966" s="149"/>
      <c r="P966" s="149"/>
      <c r="Q966" s="149"/>
      <c r="R966" s="149"/>
      <c r="S966" s="149"/>
      <c r="T966" s="149"/>
      <c r="U966" s="149"/>
      <c r="V966" s="149"/>
      <c r="W966" s="149"/>
      <c r="X966" s="149"/>
      <c r="Y966" s="149"/>
      <c r="Z966" s="149"/>
    </row>
    <row r="967" spans="1:26" ht="14.25" customHeight="1" x14ac:dyDescent="0.3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49"/>
      <c r="U967" s="149"/>
      <c r="V967" s="149"/>
      <c r="W967" s="149"/>
      <c r="X967" s="149"/>
      <c r="Y967" s="149"/>
      <c r="Z967" s="149"/>
    </row>
    <row r="968" spans="1:26" ht="14.25" customHeight="1" x14ac:dyDescent="0.35">
      <c r="A968" s="149"/>
      <c r="B968" s="149"/>
      <c r="C968" s="149"/>
      <c r="D968" s="149"/>
      <c r="E968" s="149"/>
      <c r="F968" s="149"/>
      <c r="G968" s="149"/>
      <c r="H968" s="149"/>
      <c r="I968" s="149"/>
      <c r="J968" s="149"/>
      <c r="K968" s="149"/>
      <c r="L968" s="149"/>
      <c r="M968" s="149"/>
      <c r="N968" s="149"/>
      <c r="O968" s="149"/>
      <c r="P968" s="149"/>
      <c r="Q968" s="149"/>
      <c r="R968" s="149"/>
      <c r="S968" s="149"/>
      <c r="T968" s="149"/>
      <c r="U968" s="149"/>
      <c r="V968" s="149"/>
      <c r="W968" s="149"/>
      <c r="X968" s="149"/>
      <c r="Y968" s="149"/>
      <c r="Z968" s="149"/>
    </row>
    <row r="969" spans="1:26" ht="14.25" customHeight="1" x14ac:dyDescent="0.3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49"/>
      <c r="U969" s="149"/>
      <c r="V969" s="149"/>
      <c r="W969" s="149"/>
      <c r="X969" s="149"/>
      <c r="Y969" s="149"/>
      <c r="Z969" s="149"/>
    </row>
    <row r="970" spans="1:26" ht="14.25" customHeight="1" x14ac:dyDescent="0.35">
      <c r="A970" s="149"/>
      <c r="B970" s="149"/>
      <c r="C970" s="149"/>
      <c r="D970" s="149"/>
      <c r="E970" s="149"/>
      <c r="F970" s="149"/>
      <c r="G970" s="149"/>
      <c r="H970" s="149"/>
      <c r="I970" s="149"/>
      <c r="J970" s="149"/>
      <c r="K970" s="149"/>
      <c r="L970" s="149"/>
      <c r="M970" s="149"/>
      <c r="N970" s="149"/>
      <c r="O970" s="149"/>
      <c r="P970" s="149"/>
      <c r="Q970" s="149"/>
      <c r="R970" s="149"/>
      <c r="S970" s="149"/>
      <c r="T970" s="149"/>
      <c r="U970" s="149"/>
      <c r="V970" s="149"/>
      <c r="W970" s="149"/>
      <c r="X970" s="149"/>
      <c r="Y970" s="149"/>
      <c r="Z970" s="149"/>
    </row>
    <row r="971" spans="1:26" ht="14.25" customHeight="1" x14ac:dyDescent="0.3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49"/>
      <c r="U971" s="149"/>
      <c r="V971" s="149"/>
      <c r="W971" s="149"/>
      <c r="X971" s="149"/>
      <c r="Y971" s="149"/>
      <c r="Z971" s="149"/>
    </row>
    <row r="972" spans="1:26" ht="14.25" customHeight="1" x14ac:dyDescent="0.35">
      <c r="A972" s="149"/>
      <c r="B972" s="149"/>
      <c r="C972" s="149"/>
      <c r="D972" s="149"/>
      <c r="E972" s="149"/>
      <c r="F972" s="149"/>
      <c r="G972" s="149"/>
      <c r="H972" s="149"/>
      <c r="I972" s="149"/>
      <c r="J972" s="149"/>
      <c r="K972" s="149"/>
      <c r="L972" s="149"/>
      <c r="M972" s="149"/>
      <c r="N972" s="149"/>
      <c r="O972" s="149"/>
      <c r="P972" s="149"/>
      <c r="Q972" s="149"/>
      <c r="R972" s="149"/>
      <c r="S972" s="149"/>
      <c r="T972" s="149"/>
      <c r="U972" s="149"/>
      <c r="V972" s="149"/>
      <c r="W972" s="149"/>
      <c r="X972" s="149"/>
      <c r="Y972" s="149"/>
      <c r="Z972" s="149"/>
    </row>
    <row r="973" spans="1:26" ht="14.25" customHeight="1" x14ac:dyDescent="0.3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49"/>
      <c r="U973" s="149"/>
      <c r="V973" s="149"/>
      <c r="W973" s="149"/>
      <c r="X973" s="149"/>
      <c r="Y973" s="149"/>
      <c r="Z973" s="149"/>
    </row>
    <row r="974" spans="1:26" ht="14.25" customHeight="1" x14ac:dyDescent="0.35">
      <c r="A974" s="149"/>
      <c r="B974" s="149"/>
      <c r="C974" s="149"/>
      <c r="D974" s="149"/>
      <c r="E974" s="149"/>
      <c r="F974" s="149"/>
      <c r="G974" s="149"/>
      <c r="H974" s="149"/>
      <c r="I974" s="149"/>
      <c r="J974" s="149"/>
      <c r="K974" s="149"/>
      <c r="L974" s="149"/>
      <c r="M974" s="149"/>
      <c r="N974" s="149"/>
      <c r="O974" s="149"/>
      <c r="P974" s="149"/>
      <c r="Q974" s="149"/>
      <c r="R974" s="149"/>
      <c r="S974" s="149"/>
      <c r="T974" s="149"/>
      <c r="U974" s="149"/>
      <c r="V974" s="149"/>
      <c r="W974" s="149"/>
      <c r="X974" s="149"/>
      <c r="Y974" s="149"/>
      <c r="Z974" s="149"/>
    </row>
    <row r="975" spans="1:26" ht="14.25" customHeight="1" x14ac:dyDescent="0.3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49"/>
      <c r="U975" s="149"/>
      <c r="V975" s="149"/>
      <c r="W975" s="149"/>
      <c r="X975" s="149"/>
      <c r="Y975" s="149"/>
      <c r="Z975" s="149"/>
    </row>
    <row r="976" spans="1:26" ht="14.25" customHeight="1" x14ac:dyDescent="0.35">
      <c r="A976" s="149"/>
      <c r="B976" s="149"/>
      <c r="C976" s="149"/>
      <c r="D976" s="149"/>
      <c r="E976" s="149"/>
      <c r="F976" s="149"/>
      <c r="G976" s="149"/>
      <c r="H976" s="149"/>
      <c r="I976" s="149"/>
      <c r="J976" s="149"/>
      <c r="K976" s="149"/>
      <c r="L976" s="149"/>
      <c r="M976" s="149"/>
      <c r="N976" s="149"/>
      <c r="O976" s="149"/>
      <c r="P976" s="149"/>
      <c r="Q976" s="149"/>
      <c r="R976" s="149"/>
      <c r="S976" s="149"/>
      <c r="T976" s="149"/>
      <c r="U976" s="149"/>
      <c r="V976" s="149"/>
      <c r="W976" s="149"/>
      <c r="X976" s="149"/>
      <c r="Y976" s="149"/>
      <c r="Z976" s="149"/>
    </row>
    <row r="977" spans="1:26" ht="14.25" customHeight="1" x14ac:dyDescent="0.3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49"/>
      <c r="U977" s="149"/>
      <c r="V977" s="149"/>
      <c r="W977" s="149"/>
      <c r="X977" s="149"/>
      <c r="Y977" s="149"/>
      <c r="Z977" s="149"/>
    </row>
    <row r="978" spans="1:26" ht="14.25" customHeight="1" x14ac:dyDescent="0.35">
      <c r="A978" s="149"/>
      <c r="B978" s="149"/>
      <c r="C978" s="149"/>
      <c r="D978" s="149"/>
      <c r="E978" s="149"/>
      <c r="F978" s="149"/>
      <c r="G978" s="149"/>
      <c r="H978" s="149"/>
      <c r="I978" s="149"/>
      <c r="J978" s="149"/>
      <c r="K978" s="149"/>
      <c r="L978" s="149"/>
      <c r="M978" s="149"/>
      <c r="N978" s="149"/>
      <c r="O978" s="149"/>
      <c r="P978" s="149"/>
      <c r="Q978" s="149"/>
      <c r="R978" s="149"/>
      <c r="S978" s="149"/>
      <c r="T978" s="149"/>
      <c r="U978" s="149"/>
      <c r="V978" s="149"/>
      <c r="W978" s="149"/>
      <c r="X978" s="149"/>
      <c r="Y978" s="149"/>
      <c r="Z978" s="149"/>
    </row>
    <row r="979" spans="1:26" ht="14.25" customHeight="1" x14ac:dyDescent="0.3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49"/>
      <c r="U979" s="149"/>
      <c r="V979" s="149"/>
      <c r="W979" s="149"/>
      <c r="X979" s="149"/>
      <c r="Y979" s="149"/>
      <c r="Z979" s="149"/>
    </row>
    <row r="980" spans="1:26" ht="14.25" customHeight="1" x14ac:dyDescent="0.35">
      <c r="A980" s="149"/>
      <c r="B980" s="149"/>
      <c r="C980" s="149"/>
      <c r="D980" s="149"/>
      <c r="E980" s="149"/>
      <c r="F980" s="149"/>
      <c r="G980" s="149"/>
      <c r="H980" s="149"/>
      <c r="I980" s="149"/>
      <c r="J980" s="149"/>
      <c r="K980" s="149"/>
      <c r="L980" s="149"/>
      <c r="M980" s="149"/>
      <c r="N980" s="149"/>
      <c r="O980" s="149"/>
      <c r="P980" s="149"/>
      <c r="Q980" s="149"/>
      <c r="R980" s="149"/>
      <c r="S980" s="149"/>
      <c r="T980" s="149"/>
      <c r="U980" s="149"/>
      <c r="V980" s="149"/>
      <c r="W980" s="149"/>
      <c r="X980" s="149"/>
      <c r="Y980" s="149"/>
      <c r="Z980" s="149"/>
    </row>
    <row r="981" spans="1:26" ht="14.25" customHeight="1" x14ac:dyDescent="0.3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49"/>
      <c r="U981" s="149"/>
      <c r="V981" s="149"/>
      <c r="W981" s="149"/>
      <c r="X981" s="149"/>
      <c r="Y981" s="149"/>
      <c r="Z981" s="149"/>
    </row>
    <row r="982" spans="1:26" ht="14.25" customHeight="1" x14ac:dyDescent="0.35">
      <c r="A982" s="149"/>
      <c r="B982" s="149"/>
      <c r="C982" s="149"/>
      <c r="D982" s="149"/>
      <c r="E982" s="149"/>
      <c r="F982" s="149"/>
      <c r="G982" s="149"/>
      <c r="H982" s="149"/>
      <c r="I982" s="149"/>
      <c r="J982" s="149"/>
      <c r="K982" s="149"/>
      <c r="L982" s="149"/>
      <c r="M982" s="149"/>
      <c r="N982" s="149"/>
      <c r="O982" s="149"/>
      <c r="P982" s="149"/>
      <c r="Q982" s="149"/>
      <c r="R982" s="149"/>
      <c r="S982" s="149"/>
      <c r="T982" s="149"/>
      <c r="U982" s="149"/>
      <c r="V982" s="149"/>
      <c r="W982" s="149"/>
      <c r="X982" s="149"/>
      <c r="Y982" s="149"/>
      <c r="Z982" s="149"/>
    </row>
    <row r="983" spans="1:26" ht="14.25" customHeight="1" x14ac:dyDescent="0.3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49"/>
      <c r="U983" s="149"/>
      <c r="V983" s="149"/>
      <c r="W983" s="149"/>
      <c r="X983" s="149"/>
      <c r="Y983" s="149"/>
      <c r="Z983" s="149"/>
    </row>
    <row r="984" spans="1:26" ht="14.25" customHeight="1" x14ac:dyDescent="0.35">
      <c r="A984" s="149"/>
      <c r="B984" s="149"/>
      <c r="C984" s="149"/>
      <c r="D984" s="149"/>
      <c r="E984" s="149"/>
      <c r="F984" s="149"/>
      <c r="G984" s="149"/>
      <c r="H984" s="149"/>
      <c r="I984" s="149"/>
      <c r="J984" s="149"/>
      <c r="K984" s="149"/>
      <c r="L984" s="149"/>
      <c r="M984" s="149"/>
      <c r="N984" s="149"/>
      <c r="O984" s="149"/>
      <c r="P984" s="149"/>
      <c r="Q984" s="149"/>
      <c r="R984" s="149"/>
      <c r="S984" s="149"/>
      <c r="T984" s="149"/>
      <c r="U984" s="149"/>
      <c r="V984" s="149"/>
      <c r="W984" s="149"/>
      <c r="X984" s="149"/>
      <c r="Y984" s="149"/>
      <c r="Z984" s="149"/>
    </row>
    <row r="985" spans="1:26" ht="14.25" customHeight="1" x14ac:dyDescent="0.3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49"/>
      <c r="U985" s="149"/>
      <c r="V985" s="149"/>
      <c r="W985" s="149"/>
      <c r="X985" s="149"/>
      <c r="Y985" s="149"/>
      <c r="Z985" s="149"/>
    </row>
    <row r="986" spans="1:26" ht="14.25" customHeight="1" x14ac:dyDescent="0.35">
      <c r="A986" s="149"/>
      <c r="B986" s="149"/>
      <c r="C986" s="149"/>
      <c r="D986" s="149"/>
      <c r="E986" s="149"/>
      <c r="F986" s="149"/>
      <c r="G986" s="149"/>
      <c r="H986" s="149"/>
      <c r="I986" s="149"/>
      <c r="J986" s="149"/>
      <c r="K986" s="149"/>
      <c r="L986" s="149"/>
      <c r="M986" s="149"/>
      <c r="N986" s="149"/>
      <c r="O986" s="149"/>
      <c r="P986" s="149"/>
      <c r="Q986" s="149"/>
      <c r="R986" s="149"/>
      <c r="S986" s="149"/>
      <c r="T986" s="149"/>
      <c r="U986" s="149"/>
      <c r="V986" s="149"/>
      <c r="W986" s="149"/>
      <c r="X986" s="149"/>
      <c r="Y986" s="149"/>
      <c r="Z986" s="149"/>
    </row>
    <row r="987" spans="1:26" ht="14.25" customHeight="1" x14ac:dyDescent="0.3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49"/>
      <c r="U987" s="149"/>
      <c r="V987" s="149"/>
      <c r="W987" s="149"/>
      <c r="X987" s="149"/>
      <c r="Y987" s="149"/>
      <c r="Z987" s="149"/>
    </row>
    <row r="988" spans="1:26" ht="14.25" customHeight="1" x14ac:dyDescent="0.35">
      <c r="A988" s="149"/>
      <c r="B988" s="149"/>
      <c r="C988" s="149"/>
      <c r="D988" s="149"/>
      <c r="E988" s="149"/>
      <c r="F988" s="149"/>
      <c r="G988" s="149"/>
      <c r="H988" s="149"/>
      <c r="I988" s="149"/>
      <c r="J988" s="149"/>
      <c r="K988" s="149"/>
      <c r="L988" s="149"/>
      <c r="M988" s="149"/>
      <c r="N988" s="149"/>
      <c r="O988" s="149"/>
      <c r="P988" s="149"/>
      <c r="Q988" s="149"/>
      <c r="R988" s="149"/>
      <c r="S988" s="149"/>
      <c r="T988" s="149"/>
      <c r="U988" s="149"/>
      <c r="V988" s="149"/>
      <c r="W988" s="149"/>
      <c r="X988" s="149"/>
      <c r="Y988" s="149"/>
      <c r="Z988" s="149"/>
    </row>
    <row r="989" spans="1:26" ht="14.25" customHeight="1" x14ac:dyDescent="0.3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49"/>
      <c r="U989" s="149"/>
      <c r="V989" s="149"/>
      <c r="W989" s="149"/>
      <c r="X989" s="149"/>
      <c r="Y989" s="149"/>
      <c r="Z989" s="149"/>
    </row>
    <row r="990" spans="1:26" ht="14.25" customHeight="1" x14ac:dyDescent="0.35">
      <c r="A990" s="149"/>
      <c r="B990" s="149"/>
      <c r="C990" s="149"/>
      <c r="D990" s="149"/>
      <c r="E990" s="149"/>
      <c r="F990" s="149"/>
      <c r="G990" s="149"/>
      <c r="H990" s="149"/>
      <c r="I990" s="149"/>
      <c r="J990" s="149"/>
      <c r="K990" s="149"/>
      <c r="L990" s="149"/>
      <c r="M990" s="149"/>
      <c r="N990" s="149"/>
      <c r="O990" s="149"/>
      <c r="P990" s="149"/>
      <c r="Q990" s="149"/>
      <c r="R990" s="149"/>
      <c r="S990" s="149"/>
      <c r="T990" s="149"/>
      <c r="U990" s="149"/>
      <c r="V990" s="149"/>
      <c r="W990" s="149"/>
      <c r="X990" s="149"/>
      <c r="Y990" s="149"/>
      <c r="Z990" s="149"/>
    </row>
    <row r="991" spans="1:26" ht="14.25" customHeight="1" x14ac:dyDescent="0.3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49"/>
      <c r="U991" s="149"/>
      <c r="V991" s="149"/>
      <c r="W991" s="149"/>
      <c r="X991" s="149"/>
      <c r="Y991" s="149"/>
      <c r="Z991" s="149"/>
    </row>
    <row r="992" spans="1:26" ht="14.25" customHeight="1" x14ac:dyDescent="0.35">
      <c r="A992" s="149"/>
      <c r="B992" s="149"/>
      <c r="C992" s="149"/>
      <c r="D992" s="149"/>
      <c r="E992" s="149"/>
      <c r="F992" s="149"/>
      <c r="G992" s="149"/>
      <c r="H992" s="149"/>
      <c r="I992" s="149"/>
      <c r="J992" s="149"/>
      <c r="K992" s="149"/>
      <c r="L992" s="149"/>
      <c r="M992" s="149"/>
      <c r="N992" s="149"/>
      <c r="O992" s="149"/>
      <c r="P992" s="149"/>
      <c r="Q992" s="149"/>
      <c r="R992" s="149"/>
      <c r="S992" s="149"/>
      <c r="T992" s="149"/>
      <c r="U992" s="149"/>
      <c r="V992" s="149"/>
      <c r="W992" s="149"/>
      <c r="X992" s="149"/>
      <c r="Y992" s="149"/>
      <c r="Z992" s="149"/>
    </row>
    <row r="993" spans="1:26" ht="14.25" customHeight="1" x14ac:dyDescent="0.3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49"/>
      <c r="U993" s="149"/>
      <c r="V993" s="149"/>
      <c r="W993" s="149"/>
      <c r="X993" s="149"/>
      <c r="Y993" s="149"/>
      <c r="Z993" s="149"/>
    </row>
    <row r="994" spans="1:26" ht="14.25" customHeight="1" x14ac:dyDescent="0.35">
      <c r="A994" s="149"/>
      <c r="B994" s="149"/>
      <c r="C994" s="149"/>
      <c r="D994" s="149"/>
      <c r="E994" s="149"/>
      <c r="F994" s="149"/>
      <c r="G994" s="149"/>
      <c r="H994" s="149"/>
      <c r="I994" s="149"/>
      <c r="J994" s="149"/>
      <c r="K994" s="149"/>
      <c r="L994" s="149"/>
      <c r="M994" s="149"/>
      <c r="N994" s="149"/>
      <c r="O994" s="149"/>
      <c r="P994" s="149"/>
      <c r="Q994" s="149"/>
      <c r="R994" s="149"/>
      <c r="S994" s="149"/>
      <c r="T994" s="149"/>
      <c r="U994" s="149"/>
      <c r="V994" s="149"/>
      <c r="W994" s="149"/>
      <c r="X994" s="149"/>
      <c r="Y994" s="149"/>
      <c r="Z994" s="149"/>
    </row>
    <row r="995" spans="1:26" ht="14.25" customHeight="1" x14ac:dyDescent="0.3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49"/>
      <c r="U995" s="149"/>
      <c r="V995" s="149"/>
      <c r="W995" s="149"/>
      <c r="X995" s="149"/>
      <c r="Y995" s="149"/>
      <c r="Z995" s="149"/>
    </row>
    <row r="996" spans="1:26" ht="14.25" customHeight="1" x14ac:dyDescent="0.35">
      <c r="A996" s="149"/>
      <c r="B996" s="149"/>
      <c r="C996" s="149"/>
      <c r="D996" s="149"/>
      <c r="E996" s="149"/>
      <c r="F996" s="149"/>
      <c r="G996" s="149"/>
      <c r="H996" s="149"/>
      <c r="I996" s="149"/>
      <c r="J996" s="149"/>
      <c r="K996" s="149"/>
      <c r="L996" s="149"/>
      <c r="M996" s="149"/>
      <c r="N996" s="149"/>
      <c r="O996" s="149"/>
      <c r="P996" s="149"/>
      <c r="Q996" s="149"/>
      <c r="R996" s="149"/>
      <c r="S996" s="149"/>
      <c r="T996" s="149"/>
      <c r="U996" s="149"/>
      <c r="V996" s="149"/>
      <c r="W996" s="149"/>
      <c r="X996" s="149"/>
      <c r="Y996" s="149"/>
      <c r="Z996" s="149"/>
    </row>
  </sheetData>
  <sheetProtection algorithmName="SHA-512" hashValue="PH5i27gdavkvi7tQ2Bj6rc/3eAPw6AeiVJWeAmy7gx+Rz1l+2fGKHd66pTwU4VkuJ6zVdwiC/+Kfn+zIZp7uZg==" saltValue="p4+K5in6Eo4q7SaPs2/zEg==" spinCount="100000" sheet="1" objects="1" scenarios="1"/>
  <conditionalFormatting sqref="B69:G70 N9 N11">
    <cfRule type="cellIs" dxfId="1" priority="1" operator="greaterThan">
      <formula>0</formula>
    </cfRule>
  </conditionalFormatting>
  <conditionalFormatting sqref="B69:G70 N9 N11">
    <cfRule type="cellIs" dxfId="0" priority="2" operator="lessThan">
      <formula>0</formula>
    </cfRule>
  </conditionalFormatting>
  <pageMargins left="0.25" right="0.25" top="0.75" bottom="0.75" header="0" footer="0"/>
  <pageSetup paperSize="9" fitToHeight="0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Z1011"/>
  <sheetViews>
    <sheetView workbookViewId="0"/>
  </sheetViews>
  <sheetFormatPr baseColWidth="10" defaultColWidth="14.3984375" defaultRowHeight="15" customHeight="1" x14ac:dyDescent="0.3"/>
  <cols>
    <col min="1" max="1" width="36.8984375" customWidth="1"/>
    <col min="2" max="2" width="13" customWidth="1"/>
    <col min="3" max="3" width="9.296875" customWidth="1"/>
    <col min="4" max="4" width="10.296875" customWidth="1"/>
    <col min="5" max="5" width="10.69921875" customWidth="1"/>
    <col min="6" max="6" width="11.09765625" customWidth="1"/>
    <col min="7" max="7" width="9.69921875" customWidth="1"/>
    <col min="8" max="8" width="9.296875" customWidth="1"/>
    <col min="9" max="9" width="7.3984375" customWidth="1"/>
    <col min="10" max="10" width="10.296875" customWidth="1"/>
    <col min="11" max="11" width="8.59765625" customWidth="1"/>
    <col min="12" max="12" width="9.8984375" customWidth="1"/>
    <col min="13" max="13" width="8.09765625" customWidth="1"/>
    <col min="14" max="26" width="23.8984375" customWidth="1"/>
  </cols>
  <sheetData>
    <row r="1" spans="1:26" ht="14.25" customHeight="1" x14ac:dyDescent="0.35">
      <c r="A1" s="121"/>
      <c r="B1" s="954" t="s">
        <v>376</v>
      </c>
      <c r="C1" s="955"/>
      <c r="D1" s="442" t="s">
        <v>377</v>
      </c>
      <c r="E1" s="443" t="s">
        <v>306</v>
      </c>
      <c r="F1" s="965" t="s">
        <v>378</v>
      </c>
      <c r="G1" s="958"/>
      <c r="H1" s="444" t="s">
        <v>379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14.25" customHeight="1" x14ac:dyDescent="0.35">
      <c r="A2" s="445"/>
      <c r="B2" s="446" t="s">
        <v>380</v>
      </c>
      <c r="C2" s="447" t="s">
        <v>381</v>
      </c>
      <c r="D2" s="448"/>
      <c r="E2" s="448"/>
      <c r="F2" s="449" t="s">
        <v>382</v>
      </c>
      <c r="G2" s="448" t="s">
        <v>383</v>
      </c>
      <c r="H2" s="450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ht="14.25" customHeight="1" x14ac:dyDescent="0.35">
      <c r="A3" s="451" t="s">
        <v>384</v>
      </c>
      <c r="B3" s="452"/>
      <c r="C3" s="453"/>
      <c r="D3" s="453"/>
      <c r="E3" s="453"/>
      <c r="F3" s="452"/>
      <c r="G3" s="453"/>
      <c r="H3" s="454"/>
      <c r="I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4.25" customHeight="1" x14ac:dyDescent="0.35">
      <c r="A4" s="111" t="s">
        <v>385</v>
      </c>
      <c r="B4" s="455">
        <v>10</v>
      </c>
      <c r="C4" s="456">
        <v>9</v>
      </c>
      <c r="D4" s="457">
        <v>4</v>
      </c>
      <c r="E4" s="457"/>
      <c r="F4" s="458">
        <v>2</v>
      </c>
      <c r="G4" s="457">
        <v>1</v>
      </c>
      <c r="H4" s="459">
        <v>2</v>
      </c>
      <c r="I4" s="126"/>
      <c r="J4" s="141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ht="14.25" customHeight="1" x14ac:dyDescent="0.35">
      <c r="A5" s="111" t="s">
        <v>386</v>
      </c>
      <c r="B5" s="458">
        <v>15</v>
      </c>
      <c r="C5" s="460">
        <v>3</v>
      </c>
      <c r="D5" s="457">
        <v>9</v>
      </c>
      <c r="E5" s="457">
        <f>B50</f>
        <v>1</v>
      </c>
      <c r="F5" s="458">
        <v>5</v>
      </c>
      <c r="G5" s="457">
        <v>4</v>
      </c>
      <c r="H5" s="457">
        <v>4</v>
      </c>
      <c r="I5" s="126"/>
      <c r="J5" s="461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ht="14.25" customHeight="1" x14ac:dyDescent="0.35">
      <c r="A6" s="111" t="s">
        <v>387</v>
      </c>
      <c r="B6" s="458">
        <f>4*0</f>
        <v>0</v>
      </c>
      <c r="C6" s="460">
        <f t="shared" ref="C6:C7" si="0">2*0</f>
        <v>0</v>
      </c>
      <c r="D6" s="457">
        <f>4*0</f>
        <v>0</v>
      </c>
      <c r="E6" s="457"/>
      <c r="F6" s="458">
        <f t="shared" ref="F6:G6" si="1">1*0</f>
        <v>0</v>
      </c>
      <c r="G6" s="458">
        <f t="shared" si="1"/>
        <v>0</v>
      </c>
      <c r="H6" s="457">
        <f>2*0</f>
        <v>0</v>
      </c>
      <c r="I6" s="126"/>
      <c r="J6" s="462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ht="14.25" customHeight="1" x14ac:dyDescent="0.35">
      <c r="A7" s="111" t="s">
        <v>388</v>
      </c>
      <c r="B7" s="458">
        <f>8*0</f>
        <v>0</v>
      </c>
      <c r="C7" s="460">
        <f t="shared" si="0"/>
        <v>0</v>
      </c>
      <c r="D7" s="457">
        <f>8*0</f>
        <v>0</v>
      </c>
      <c r="E7" s="463"/>
      <c r="F7" s="458">
        <f t="shared" ref="F7:G7" si="2">1*0</f>
        <v>0</v>
      </c>
      <c r="G7" s="458">
        <f t="shared" si="2"/>
        <v>0</v>
      </c>
      <c r="H7" s="457">
        <f>8*0</f>
        <v>0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ht="14.25" customHeight="1" x14ac:dyDescent="0.35">
      <c r="A8" s="445" t="s">
        <v>389</v>
      </c>
      <c r="B8" s="464">
        <f t="shared" ref="B8:D8" si="3">SUM(B4:B7)</f>
        <v>25</v>
      </c>
      <c r="C8" s="212">
        <f t="shared" si="3"/>
        <v>12</v>
      </c>
      <c r="D8" s="465">
        <f t="shared" si="3"/>
        <v>13</v>
      </c>
      <c r="E8" s="465">
        <f>SUM('Progr. konstanter og variabler'!C50:F50)</f>
        <v>1</v>
      </c>
      <c r="F8" s="464">
        <f t="shared" ref="F8:H8" si="4">SUM(F4:F7)</f>
        <v>7</v>
      </c>
      <c r="G8" s="465">
        <f t="shared" si="4"/>
        <v>5</v>
      </c>
      <c r="H8" s="465">
        <f t="shared" si="4"/>
        <v>6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ht="14.25" customHeight="1" x14ac:dyDescent="0.35">
      <c r="A9" s="445" t="s">
        <v>390</v>
      </c>
      <c r="B9" s="64">
        <v>4</v>
      </c>
      <c r="C9" s="225">
        <v>1</v>
      </c>
      <c r="D9" s="66">
        <v>4</v>
      </c>
      <c r="E9" s="66"/>
      <c r="F9" s="64">
        <v>4</v>
      </c>
      <c r="G9" s="66">
        <v>4</v>
      </c>
      <c r="H9" s="66">
        <v>1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ht="14.25" customHeight="1" x14ac:dyDescent="0.35">
      <c r="A10" s="445" t="s">
        <v>391</v>
      </c>
      <c r="B10" s="64">
        <v>12</v>
      </c>
      <c r="C10" s="225">
        <v>7</v>
      </c>
      <c r="D10" s="66">
        <v>10</v>
      </c>
      <c r="E10" s="66"/>
      <c r="F10" s="64">
        <v>8</v>
      </c>
      <c r="G10" s="66">
        <v>8</v>
      </c>
      <c r="H10" s="66">
        <v>24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ht="14.25" customHeight="1" x14ac:dyDescent="0.35">
      <c r="A11" s="445" t="s">
        <v>392</v>
      </c>
      <c r="B11" s="466">
        <f t="shared" ref="B11:D11" si="5">B8*B9</f>
        <v>100</v>
      </c>
      <c r="C11" s="467">
        <f t="shared" si="5"/>
        <v>12</v>
      </c>
      <c r="D11" s="466">
        <f t="shared" si="5"/>
        <v>52</v>
      </c>
      <c r="E11" s="468">
        <f>'Progr. konstanter og variabler'!B51</f>
        <v>10</v>
      </c>
      <c r="F11" s="466">
        <f t="shared" ref="F11:H11" si="6">F8*F9</f>
        <v>28</v>
      </c>
      <c r="G11" s="466">
        <f t="shared" si="6"/>
        <v>20</v>
      </c>
      <c r="H11" s="469">
        <f t="shared" si="6"/>
        <v>6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ht="18.5" x14ac:dyDescent="0.45">
      <c r="A12" s="445" t="s">
        <v>393</v>
      </c>
      <c r="B12" s="470">
        <f>B11+B8</f>
        <v>125</v>
      </c>
      <c r="C12" s="471">
        <f>C8</f>
        <v>12</v>
      </c>
      <c r="D12" s="472">
        <f>D11+D8</f>
        <v>65</v>
      </c>
      <c r="E12" s="473">
        <f>'Progr. konstanter og variabler'!B55</f>
        <v>12</v>
      </c>
      <c r="F12" s="474">
        <f t="shared" ref="F12:G12" si="7">F11+F8</f>
        <v>35</v>
      </c>
      <c r="G12" s="473">
        <f t="shared" si="7"/>
        <v>25</v>
      </c>
      <c r="H12" s="473">
        <f>H8</f>
        <v>6</v>
      </c>
      <c r="I12" s="475">
        <f>SUM(B12:H12)</f>
        <v>280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ht="14.25" customHeight="1" x14ac:dyDescent="0.35">
      <c r="A13" s="92" t="s">
        <v>394</v>
      </c>
      <c r="B13" s="476"/>
      <c r="C13" s="477"/>
      <c r="D13" s="477"/>
      <c r="E13" s="477"/>
      <c r="F13" s="476"/>
      <c r="G13" s="477"/>
      <c r="H13" s="477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ht="14.25" customHeight="1" x14ac:dyDescent="0.35">
      <c r="A14" s="478" t="s">
        <v>395</v>
      </c>
      <c r="B14" s="479">
        <v>3</v>
      </c>
      <c r="C14" s="480"/>
      <c r="D14" s="479">
        <v>2</v>
      </c>
      <c r="E14" s="481"/>
      <c r="F14" s="482">
        <v>0</v>
      </c>
      <c r="G14" s="479">
        <v>0</v>
      </c>
      <c r="H14" s="479">
        <v>0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ht="14.25" customHeight="1" x14ac:dyDescent="0.35">
      <c r="A15" s="478" t="s">
        <v>396</v>
      </c>
      <c r="B15" s="479">
        <v>5</v>
      </c>
      <c r="C15" s="480"/>
      <c r="D15" s="479">
        <v>4</v>
      </c>
      <c r="E15" s="481"/>
      <c r="F15" s="482"/>
      <c r="G15" s="479"/>
      <c r="H15" s="479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ht="14.25" customHeight="1" x14ac:dyDescent="0.35">
      <c r="A16" s="483" t="s">
        <v>397</v>
      </c>
      <c r="B16" s="484">
        <f>B15*SUM(B14)</f>
        <v>15</v>
      </c>
      <c r="C16" s="485"/>
      <c r="D16" s="484">
        <f>D15*SUM(D14)</f>
        <v>8</v>
      </c>
      <c r="E16" s="486"/>
      <c r="F16" s="464">
        <f t="shared" ref="F16:H16" si="8">F15*SUM(F14)</f>
        <v>0</v>
      </c>
      <c r="G16" s="465">
        <f t="shared" si="8"/>
        <v>0</v>
      </c>
      <c r="H16" s="465">
        <f t="shared" si="8"/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ht="14.25" customHeight="1" x14ac:dyDescent="0.35">
      <c r="A17" s="92" t="s">
        <v>398</v>
      </c>
      <c r="B17" s="476"/>
      <c r="C17" s="477"/>
      <c r="D17" s="477"/>
      <c r="E17" s="477"/>
      <c r="F17" s="476"/>
      <c r="G17" s="477"/>
      <c r="H17" s="477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</row>
    <row r="18" spans="1:26" ht="14.25" customHeight="1" x14ac:dyDescent="0.35">
      <c r="A18" s="487" t="s">
        <v>399</v>
      </c>
      <c r="B18" s="488">
        <f>1941.2*1.03</f>
        <v>1999.4360000000001</v>
      </c>
      <c r="C18" s="489"/>
      <c r="D18" s="490">
        <f>1639.2*1.03</f>
        <v>1688.3760000000002</v>
      </c>
      <c r="E18" s="490">
        <f>1750*1.03</f>
        <v>1802.5</v>
      </c>
      <c r="F18" s="488">
        <f>1018.8*1.03*5/7</f>
        <v>749.54571428571421</v>
      </c>
      <c r="G18" s="490">
        <f>1653*1.03*5/7</f>
        <v>1216.1357142857144</v>
      </c>
      <c r="H18" s="489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ht="14.25" customHeight="1" x14ac:dyDescent="0.35">
      <c r="A19" s="487" t="s">
        <v>400</v>
      </c>
      <c r="B19" s="491">
        <f>B18/B9</f>
        <v>499.85900000000004</v>
      </c>
      <c r="C19" s="490">
        <f>472.8*1.03</f>
        <v>486.98400000000004</v>
      </c>
      <c r="D19" s="491">
        <f>D18/D9</f>
        <v>422.09400000000005</v>
      </c>
      <c r="E19" s="492">
        <f>E18/10</f>
        <v>180.25</v>
      </c>
      <c r="F19" s="491">
        <f t="shared" ref="F19:G19" si="9">F18/F9</f>
        <v>187.38642857142855</v>
      </c>
      <c r="G19" s="491">
        <f t="shared" si="9"/>
        <v>304.03392857142859</v>
      </c>
      <c r="H19" s="490">
        <f>367.1*1.03</f>
        <v>378.11300000000006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ht="14.25" customHeight="1" x14ac:dyDescent="0.35">
      <c r="A20" s="487" t="s">
        <v>401</v>
      </c>
      <c r="B20" s="493">
        <f>1110.36*1.03</f>
        <v>1143.6707999999999</v>
      </c>
      <c r="C20" s="345">
        <f>265.09*1.03</f>
        <v>273.04269999999997</v>
      </c>
      <c r="D20" s="490">
        <f>956.73*1.03</f>
        <v>985.43190000000004</v>
      </c>
      <c r="E20" s="490">
        <f>E18</f>
        <v>1802.5</v>
      </c>
      <c r="F20" s="488">
        <f>662.73*1.03*5/7</f>
        <v>487.57992857142852</v>
      </c>
      <c r="G20" s="490">
        <f>985.36*1.03*5/7</f>
        <v>724.94342857142863</v>
      </c>
      <c r="H20" s="490">
        <f>211.32*1.03</f>
        <v>217.65960000000001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ht="14.25" customHeight="1" x14ac:dyDescent="0.35">
      <c r="A21" s="487" t="s">
        <v>402</v>
      </c>
      <c r="B21" s="491">
        <f>B18-B20</f>
        <v>855.76520000000028</v>
      </c>
      <c r="C21" s="492">
        <f>C19-C20</f>
        <v>213.94130000000007</v>
      </c>
      <c r="D21" s="492">
        <f t="shared" ref="D21:G21" si="10">D18-D20</f>
        <v>702.94410000000016</v>
      </c>
      <c r="E21" s="492">
        <f t="shared" si="10"/>
        <v>0</v>
      </c>
      <c r="F21" s="491">
        <f t="shared" si="10"/>
        <v>261.96578571428569</v>
      </c>
      <c r="G21" s="492">
        <f t="shared" si="10"/>
        <v>491.19228571428573</v>
      </c>
      <c r="H21" s="492">
        <f>H19-H20</f>
        <v>160.45340000000004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ht="14.25" customHeight="1" x14ac:dyDescent="0.35">
      <c r="A22" s="487" t="s">
        <v>403</v>
      </c>
      <c r="B22" s="491">
        <f t="shared" ref="B22:D22" si="11">B21*B10</f>
        <v>10269.182400000003</v>
      </c>
      <c r="C22" s="491">
        <f t="shared" si="11"/>
        <v>1497.5891000000006</v>
      </c>
      <c r="D22" s="491">
        <f t="shared" si="11"/>
        <v>7029.4410000000016</v>
      </c>
      <c r="E22" s="492">
        <v>0</v>
      </c>
      <c r="F22" s="491">
        <f t="shared" ref="F22:G22" si="12">F21*F10</f>
        <v>2095.7262857142855</v>
      </c>
      <c r="G22" s="491">
        <f t="shared" si="12"/>
        <v>3929.5382857142858</v>
      </c>
      <c r="H22" s="492">
        <f>H21*24</f>
        <v>3850.8816000000011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ht="14.25" customHeight="1" x14ac:dyDescent="0.35">
      <c r="A23" s="487" t="s">
        <v>404</v>
      </c>
      <c r="B23" s="491">
        <f>B22*Sentralt!$B$5</f>
        <v>119122.51584000004</v>
      </c>
      <c r="C23" s="492">
        <f>C22*Sentralt!$B$5</f>
        <v>17372.033560000007</v>
      </c>
      <c r="D23" s="492">
        <f>D22*Sentralt!$B$5</f>
        <v>81541.515600000013</v>
      </c>
      <c r="E23" s="492">
        <f>E22*Sentralt!$B$5</f>
        <v>0</v>
      </c>
      <c r="F23" s="491">
        <f>F22*Sentralt!$B$5</f>
        <v>24310.424914285712</v>
      </c>
      <c r="G23" s="492">
        <f>G22*Sentralt!$B$5</f>
        <v>45582.644114285715</v>
      </c>
      <c r="H23" s="492">
        <f>H22*Sentralt!$B$5</f>
        <v>44670.22656000001</v>
      </c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ht="14.25" customHeight="1" x14ac:dyDescent="0.35">
      <c r="A24" s="487" t="s">
        <v>405</v>
      </c>
      <c r="B24" s="494">
        <f>B21/B18</f>
        <v>0.42800329692973427</v>
      </c>
      <c r="C24" s="495">
        <f>C21/C19</f>
        <v>0.43931895093062617</v>
      </c>
      <c r="D24" s="495">
        <f t="shared" ref="D24:G24" si="13">D21/D18</f>
        <v>0.41634333821376285</v>
      </c>
      <c r="E24" s="495">
        <f t="shared" si="13"/>
        <v>0</v>
      </c>
      <c r="F24" s="494">
        <f t="shared" si="13"/>
        <v>0.34949941107184923</v>
      </c>
      <c r="G24" s="495">
        <f t="shared" si="13"/>
        <v>0.40389594676346036</v>
      </c>
      <c r="H24" s="495">
        <f>H21/H19</f>
        <v>0.4243530373195315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ht="14.25" customHeight="1" x14ac:dyDescent="0.35">
      <c r="A25" s="487" t="s">
        <v>406</v>
      </c>
      <c r="B25" s="496">
        <v>42</v>
      </c>
      <c r="C25" s="497">
        <v>42</v>
      </c>
      <c r="D25" s="497">
        <v>34.5</v>
      </c>
      <c r="E25" s="497">
        <v>12.5</v>
      </c>
      <c r="F25" s="496">
        <v>12</v>
      </c>
      <c r="G25" s="497">
        <v>22.5</v>
      </c>
      <c r="H25" s="497">
        <v>31.5</v>
      </c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ht="14.25" customHeight="1" x14ac:dyDescent="0.35">
      <c r="A26" s="487" t="s">
        <v>407</v>
      </c>
      <c r="B26" s="498">
        <f>B25*B9</f>
        <v>168</v>
      </c>
      <c r="C26" s="499"/>
      <c r="D26" s="498">
        <f>D25*D9</f>
        <v>138</v>
      </c>
      <c r="E26" s="500">
        <f>E25*10</f>
        <v>125</v>
      </c>
      <c r="F26" s="498">
        <f t="shared" ref="F26:G26" si="14">F25*F9</f>
        <v>48</v>
      </c>
      <c r="G26" s="498">
        <f t="shared" si="14"/>
        <v>90</v>
      </c>
      <c r="H26" s="499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ht="14.25" customHeight="1" x14ac:dyDescent="0.35">
      <c r="A27" s="487" t="s">
        <v>408</v>
      </c>
      <c r="B27" s="496"/>
      <c r="C27" s="497"/>
      <c r="D27" s="497"/>
      <c r="E27" s="497"/>
      <c r="F27" s="496"/>
      <c r="G27" s="497"/>
      <c r="H27" s="497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ht="14.25" customHeight="1" x14ac:dyDescent="0.35">
      <c r="A28" s="487" t="s">
        <v>409</v>
      </c>
      <c r="B28" s="498">
        <f t="shared" ref="B28:H28" si="15">B25-B27</f>
        <v>42</v>
      </c>
      <c r="C28" s="500">
        <f t="shared" si="15"/>
        <v>42</v>
      </c>
      <c r="D28" s="500">
        <f t="shared" si="15"/>
        <v>34.5</v>
      </c>
      <c r="E28" s="500">
        <f t="shared" si="15"/>
        <v>12.5</v>
      </c>
      <c r="F28" s="498">
        <f t="shared" si="15"/>
        <v>12</v>
      </c>
      <c r="G28" s="500">
        <f t="shared" si="15"/>
        <v>22.5</v>
      </c>
      <c r="H28" s="500">
        <f t="shared" si="15"/>
        <v>31.5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ht="14.25" customHeight="1" x14ac:dyDescent="0.35">
      <c r="A29" s="92" t="s">
        <v>410</v>
      </c>
      <c r="B29" s="476"/>
      <c r="C29" s="477"/>
      <c r="D29" s="477"/>
      <c r="E29" s="477"/>
      <c r="F29" s="476"/>
      <c r="G29" s="477"/>
      <c r="H29" s="477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ht="14.25" customHeight="1" x14ac:dyDescent="0.35">
      <c r="A30" s="487" t="s">
        <v>400</v>
      </c>
      <c r="B30" s="488">
        <v>5</v>
      </c>
      <c r="C30" s="499"/>
      <c r="D30" s="490">
        <v>5</v>
      </c>
      <c r="E30" s="490">
        <v>4</v>
      </c>
      <c r="F30" s="488">
        <v>3</v>
      </c>
      <c r="G30" s="492">
        <f>$F$30</f>
        <v>3</v>
      </c>
      <c r="H30" s="490">
        <v>3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ht="14.25" customHeight="1" x14ac:dyDescent="0.35">
      <c r="A31" s="184" t="s">
        <v>320</v>
      </c>
      <c r="B31" s="501"/>
      <c r="C31" s="502"/>
      <c r="D31" s="502"/>
      <c r="E31" s="502"/>
      <c r="F31" s="501"/>
      <c r="G31" s="502"/>
      <c r="H31" s="502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ht="14.25" customHeight="1" x14ac:dyDescent="0.35">
      <c r="A32" s="487" t="s">
        <v>411</v>
      </c>
      <c r="B32" s="503">
        <f t="shared" ref="B32:D32" si="16">B23</f>
        <v>119122.51584000004</v>
      </c>
      <c r="C32" s="504">
        <f t="shared" si="16"/>
        <v>17372.033560000007</v>
      </c>
      <c r="D32" s="504">
        <f t="shared" si="16"/>
        <v>81541.515600000013</v>
      </c>
      <c r="E32" s="505"/>
      <c r="F32" s="503">
        <f t="shared" ref="F32:H32" si="17">F23</f>
        <v>24310.424914285712</v>
      </c>
      <c r="G32" s="504">
        <f t="shared" si="17"/>
        <v>45582.644114285715</v>
      </c>
      <c r="H32" s="504">
        <f t="shared" si="17"/>
        <v>44670.22656000001</v>
      </c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ht="14.25" customHeight="1" x14ac:dyDescent="0.35">
      <c r="A33" s="487" t="s">
        <v>412</v>
      </c>
      <c r="B33" s="506">
        <v>120000</v>
      </c>
      <c r="C33" s="507"/>
      <c r="D33" s="508">
        <v>65000</v>
      </c>
      <c r="E33" s="505"/>
      <c r="F33" s="488">
        <v>25000</v>
      </c>
      <c r="G33" s="490">
        <v>40000</v>
      </c>
      <c r="H33" s="508">
        <v>35000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ht="14.25" customHeight="1" x14ac:dyDescent="0.35">
      <c r="A34" s="184" t="s">
        <v>413</v>
      </c>
      <c r="B34" s="501"/>
      <c r="C34" s="502"/>
      <c r="D34" s="502"/>
      <c r="E34" s="502"/>
      <c r="F34" s="501"/>
      <c r="G34" s="502"/>
      <c r="H34" s="502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ht="14.25" customHeight="1" x14ac:dyDescent="0.35">
      <c r="A35" s="509" t="s">
        <v>414</v>
      </c>
      <c r="B35" s="506">
        <v>3000</v>
      </c>
      <c r="C35" s="507"/>
      <c r="D35" s="508">
        <v>3000</v>
      </c>
      <c r="E35" s="510"/>
      <c r="F35" s="511"/>
      <c r="G35" s="512"/>
      <c r="H35" s="507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ht="14.25" customHeight="1" x14ac:dyDescent="0.35">
      <c r="A36" s="487" t="s">
        <v>415</v>
      </c>
      <c r="B36" s="506">
        <v>3000</v>
      </c>
      <c r="C36" s="507"/>
      <c r="D36" s="508">
        <v>3000</v>
      </c>
      <c r="E36" s="510"/>
      <c r="F36" s="511"/>
      <c r="G36" s="512"/>
      <c r="H36" s="507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ht="14.25" customHeight="1" x14ac:dyDescent="0.35">
      <c r="A37" s="513" t="s">
        <v>416</v>
      </c>
      <c r="B37" s="506">
        <v>3000</v>
      </c>
      <c r="C37" s="507"/>
      <c r="D37" s="508">
        <v>3000</v>
      </c>
      <c r="E37" s="510"/>
      <c r="F37" s="511"/>
      <c r="G37" s="512"/>
      <c r="H37" s="507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ht="14.25" customHeight="1" x14ac:dyDescent="0.35">
      <c r="A38" s="184" t="s">
        <v>317</v>
      </c>
      <c r="B38" s="452"/>
      <c r="C38" s="453"/>
      <c r="D38" s="453"/>
      <c r="E38" s="453"/>
      <c r="F38" s="452"/>
      <c r="G38" s="453"/>
      <c r="H38" s="45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4.25" customHeight="1" x14ac:dyDescent="0.35">
      <c r="A39" s="514" t="s">
        <v>417</v>
      </c>
      <c r="B39" s="515">
        <f>('Progr. konstanter og variabler'!$F64+'Progr. konstanter og variabler'!$F65)/B9</f>
        <v>516.31720430107521</v>
      </c>
      <c r="C39" s="516">
        <f>('Progr. konstanter og variabler'!$F64+'Progr. konstanter og variabler'!$F65)</f>
        <v>2065.2688172043008</v>
      </c>
      <c r="D39" s="516">
        <f>('Progr. konstanter og variabler'!$F64+'Progr. konstanter og variabler'!$F65+'Progr. konstanter og variabler'!F66)/B9</f>
        <v>678.81720430107521</v>
      </c>
      <c r="E39" s="516">
        <f>2*('Progr. konstanter og variabler'!$F64+'Progr. konstanter og variabler'!$F65)/10</f>
        <v>413.05376344086017</v>
      </c>
      <c r="F39" s="515">
        <f>('Progr. konstanter og variabler'!$F64+'Progr. konstanter og variabler'!$F65)/F9</f>
        <v>516.31720430107521</v>
      </c>
      <c r="G39" s="516">
        <f>('Progr. konstanter og variabler'!$F64+'Progr. konstanter og variabler'!$F65)/F9</f>
        <v>516.31720430107521</v>
      </c>
      <c r="H39" s="517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1:26" ht="14.25" customHeight="1" x14ac:dyDescent="0.35">
      <c r="A40" s="514" t="s">
        <v>418</v>
      </c>
      <c r="B40" s="518"/>
      <c r="C40" s="489"/>
      <c r="D40" s="519">
        <f>'Progr. konstanter og variabler'!F66</f>
        <v>650</v>
      </c>
      <c r="E40" s="489"/>
      <c r="F40" s="518"/>
      <c r="G40" s="489"/>
      <c r="H40" s="520">
        <f>'Progr. konstanter og variabler'!F64+'Progr. konstanter og variabler'!F65</f>
        <v>2065.2688172043008</v>
      </c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1:26" ht="14.25" customHeight="1" x14ac:dyDescent="0.35">
      <c r="A41" s="11" t="s">
        <v>419</v>
      </c>
      <c r="B41" s="11">
        <f>Sentralt!$B$4*(B19+B27+B30)+B39+B40+'Progr. konstanter og variabler'!$B44+'Progr. konstanter og variabler'!$B45+'Progr. konstanter og variabler'!$B47</f>
        <v>7797.6816043010758</v>
      </c>
      <c r="C41" s="15">
        <f>Sentralt!$B$4*(C19+C27+C30)+C39+C40+'Progr. konstanter og variabler'!$B44+'Progr. konstanter og variabler'!$B45+'Progr. konstanter og variabler'!$B46</f>
        <v>9014.2832172043018</v>
      </c>
      <c r="D41" s="15">
        <f>Sentralt!$B$4*(D19+D27+D30)+D39+D40+'Progr. konstanter og variabler'!$B44+'Progr. konstanter og variabler'!$B45+'Progr. konstanter og variabler'!$B47</f>
        <v>7708.1076043010762</v>
      </c>
      <c r="E41" s="15">
        <f>Sentralt!$B$4*(E19+E27+E30)+E39+E40+'Progr. konstanter og variabler'!$B44+'Progr. konstanter og variabler'!$B45+'Progr. konstanter og variabler'!$B47</f>
        <v>3975.3537634408599</v>
      </c>
      <c r="F41" s="11">
        <f>Sentralt!$B$4*(F19+F27+F30)+F39+F40+'Progr. konstanter og variabler'!$B44+'Progr. konstanter og variabler'!$B45</f>
        <v>3524.7997757296462</v>
      </c>
      <c r="G41" s="15">
        <f>Sentralt!$B$4*(G19+G27+G30)+G39+G40+'Progr. konstanter og variabler'!$B44+'Progr. konstanter og variabler'!$B45</f>
        <v>4877.910775729647</v>
      </c>
      <c r="H41" s="15">
        <f>Sentralt!$B$4*(H19+H27+H30)+H39+H40+'Progr. konstanter og variabler'!$B44+'Progr. konstanter og variabler'!$B45</f>
        <v>7286.1796172043014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1:26" ht="14.25" customHeight="1" x14ac:dyDescent="0.35">
      <c r="A42" s="62"/>
      <c r="B42" s="62"/>
      <c r="C42" s="62"/>
      <c r="D42" s="62"/>
      <c r="E42" s="62"/>
      <c r="F42" s="62"/>
      <c r="G42" s="62"/>
      <c r="H42" s="62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1:26" ht="14.25" customHeight="1" x14ac:dyDescent="0.35">
      <c r="A43" s="184" t="s">
        <v>420</v>
      </c>
      <c r="B43" s="452"/>
      <c r="C43" s="62"/>
      <c r="D43" s="62"/>
      <c r="E43" s="62"/>
      <c r="F43" s="62"/>
      <c r="G43" s="62"/>
      <c r="H43" s="62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1:26" ht="14.25" customHeight="1" x14ac:dyDescent="0.35">
      <c r="A44" s="521" t="s">
        <v>421</v>
      </c>
      <c r="B44" s="522">
        <v>750</v>
      </c>
      <c r="C44" s="62"/>
      <c r="D44" s="62"/>
      <c r="E44" s="62"/>
      <c r="F44" s="62"/>
      <c r="G44" s="62"/>
      <c r="H44" s="62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1:26" ht="14.25" customHeight="1" x14ac:dyDescent="0.35">
      <c r="A45" s="521" t="s">
        <v>422</v>
      </c>
      <c r="B45" s="522">
        <v>50</v>
      </c>
      <c r="C45" s="62"/>
      <c r="D45" s="62"/>
      <c r="E45" s="62"/>
      <c r="F45" s="62"/>
      <c r="G45" s="62"/>
      <c r="H45" s="62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26" ht="14.25" customHeight="1" x14ac:dyDescent="0.35">
      <c r="A46" s="523" t="s">
        <v>423</v>
      </c>
      <c r="B46" s="524">
        <v>500</v>
      </c>
      <c r="C46" s="62"/>
      <c r="D46" s="62"/>
      <c r="E46" s="62"/>
      <c r="F46" s="62"/>
      <c r="G46" s="62"/>
      <c r="H46" s="62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4.25" customHeight="1" x14ac:dyDescent="0.35">
      <c r="A47" s="181" t="s">
        <v>424</v>
      </c>
      <c r="B47" s="525">
        <f>B46*1.25</f>
        <v>625</v>
      </c>
      <c r="C47" s="62"/>
      <c r="D47" s="62"/>
      <c r="E47" s="62"/>
      <c r="F47" s="62"/>
      <c r="G47" s="62"/>
      <c r="H47" s="62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4.25" customHeight="1" x14ac:dyDescent="0.35">
      <c r="A48" s="62"/>
      <c r="B48" s="62"/>
      <c r="C48" s="62"/>
      <c r="D48" s="62"/>
      <c r="E48" s="62"/>
      <c r="F48" s="62"/>
      <c r="G48" s="62"/>
      <c r="H48" s="62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ht="14.25" customHeight="1" x14ac:dyDescent="0.35">
      <c r="A49" s="116" t="s">
        <v>425</v>
      </c>
      <c r="B49" s="526" t="s">
        <v>151</v>
      </c>
      <c r="C49" s="527">
        <v>6</v>
      </c>
      <c r="D49" s="527">
        <v>8</v>
      </c>
      <c r="E49" s="527">
        <v>10</v>
      </c>
      <c r="F49" s="528">
        <v>12</v>
      </c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:26" ht="14.25" customHeight="1" x14ac:dyDescent="0.35">
      <c r="A50" s="521" t="s">
        <v>426</v>
      </c>
      <c r="B50" s="529">
        <f t="shared" ref="B50:B51" si="18">SUM(C50:F50)</f>
        <v>1</v>
      </c>
      <c r="C50" s="530"/>
      <c r="D50" s="531"/>
      <c r="E50" s="531">
        <v>1</v>
      </c>
      <c r="F50" s="532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</row>
    <row r="51" spans="1:26" ht="14.25" customHeight="1" x14ac:dyDescent="0.35">
      <c r="A51" s="181" t="s">
        <v>427</v>
      </c>
      <c r="B51" s="533">
        <f t="shared" si="18"/>
        <v>10</v>
      </c>
      <c r="C51" s="534">
        <f t="shared" ref="C51:F51" si="19">C49*C50</f>
        <v>0</v>
      </c>
      <c r="D51" s="535">
        <f t="shared" si="19"/>
        <v>0</v>
      </c>
      <c r="E51" s="535">
        <f t="shared" si="19"/>
        <v>10</v>
      </c>
      <c r="F51" s="536">
        <f t="shared" si="19"/>
        <v>0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</row>
    <row r="52" spans="1:26" ht="14.25" customHeight="1" x14ac:dyDescent="0.35">
      <c r="A52" s="181" t="s">
        <v>428</v>
      </c>
      <c r="B52" s="533">
        <f>SUM(C52:E52)</f>
        <v>1</v>
      </c>
      <c r="C52" s="534">
        <f t="shared" ref="C52:F52" si="20">C50</f>
        <v>0</v>
      </c>
      <c r="D52" s="535">
        <f t="shared" si="20"/>
        <v>0</v>
      </c>
      <c r="E52" s="535">
        <f t="shared" si="20"/>
        <v>1</v>
      </c>
      <c r="F52" s="536">
        <f t="shared" si="20"/>
        <v>0</v>
      </c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</row>
    <row r="53" spans="1:26" ht="14.25" customHeight="1" x14ac:dyDescent="0.35">
      <c r="A53" s="181" t="s">
        <v>429</v>
      </c>
      <c r="B53" s="533">
        <f>SUM(D53:F53)</f>
        <v>1</v>
      </c>
      <c r="C53" s="534">
        <v>0</v>
      </c>
      <c r="D53" s="535">
        <f t="shared" ref="D53:F53" si="21">D50</f>
        <v>0</v>
      </c>
      <c r="E53" s="535">
        <f t="shared" si="21"/>
        <v>1</v>
      </c>
      <c r="F53" s="536">
        <f t="shared" si="21"/>
        <v>0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</row>
    <row r="54" spans="1:26" ht="14.25" customHeight="1" x14ac:dyDescent="0.35">
      <c r="A54" s="181" t="s">
        <v>430</v>
      </c>
      <c r="B54" s="533">
        <f t="shared" ref="B54:F54" si="22">B52+B53</f>
        <v>2</v>
      </c>
      <c r="C54" s="537">
        <f t="shared" si="22"/>
        <v>0</v>
      </c>
      <c r="D54" s="538">
        <f t="shared" si="22"/>
        <v>0</v>
      </c>
      <c r="E54" s="538">
        <f t="shared" si="22"/>
        <v>2</v>
      </c>
      <c r="F54" s="539">
        <f t="shared" si="22"/>
        <v>0</v>
      </c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6" ht="14.25" customHeight="1" x14ac:dyDescent="0.35">
      <c r="A55" s="181" t="s">
        <v>431</v>
      </c>
      <c r="B55" s="540">
        <f t="shared" ref="B55:F55" si="23">B51+B54</f>
        <v>12</v>
      </c>
      <c r="C55" s="541">
        <f t="shared" si="23"/>
        <v>0</v>
      </c>
      <c r="D55" s="542">
        <f t="shared" si="23"/>
        <v>0</v>
      </c>
      <c r="E55" s="542">
        <f t="shared" si="23"/>
        <v>12</v>
      </c>
      <c r="F55" s="543">
        <f t="shared" si="23"/>
        <v>0</v>
      </c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</row>
    <row r="56" spans="1:26" ht="14.25" customHeight="1" x14ac:dyDescent="0.3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</row>
    <row r="57" spans="1:26" ht="14.25" customHeight="1" x14ac:dyDescent="0.35">
      <c r="A57" s="544" t="s">
        <v>432</v>
      </c>
      <c r="B57" s="545" t="s">
        <v>433</v>
      </c>
      <c r="C57" s="546" t="s">
        <v>377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</row>
    <row r="58" spans="1:26" ht="14.25" customHeight="1" x14ac:dyDescent="0.35">
      <c r="A58" s="547" t="s">
        <v>434</v>
      </c>
      <c r="B58" s="548">
        <v>0</v>
      </c>
      <c r="C58" s="549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1:26" ht="14.25" customHeight="1" x14ac:dyDescent="0.35">
      <c r="A59" s="547" t="s">
        <v>435</v>
      </c>
      <c r="B59" s="548">
        <v>1</v>
      </c>
      <c r="C59" s="549">
        <v>1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  <row r="60" spans="1:26" ht="14.25" customHeight="1" x14ac:dyDescent="0.35">
      <c r="A60" s="550" t="s">
        <v>436</v>
      </c>
      <c r="B60" s="551">
        <v>1</v>
      </c>
      <c r="C60" s="552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26" ht="14.25" customHeight="1" x14ac:dyDescent="0.3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  <row r="62" spans="1:26" ht="14.25" customHeight="1" x14ac:dyDescent="0.35">
      <c r="A62" s="160" t="s">
        <v>437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</row>
    <row r="63" spans="1:26" ht="27.75" customHeight="1" x14ac:dyDescent="0.35">
      <c r="A63" s="11" t="s">
        <v>438</v>
      </c>
      <c r="B63" s="553" t="s">
        <v>439</v>
      </c>
      <c r="C63" s="554" t="s">
        <v>440</v>
      </c>
      <c r="D63" s="108" t="s">
        <v>441</v>
      </c>
      <c r="E63" s="108" t="s">
        <v>442</v>
      </c>
      <c r="F63" s="186" t="s">
        <v>443</v>
      </c>
      <c r="G63" s="555" t="s">
        <v>444</v>
      </c>
      <c r="H63" s="108" t="s">
        <v>445</v>
      </c>
      <c r="I63" s="556" t="s">
        <v>446</v>
      </c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1:26" ht="14.25" customHeight="1" x14ac:dyDescent="0.35">
      <c r="A64" s="557" t="s">
        <v>447</v>
      </c>
      <c r="B64" s="558">
        <f>2*3500</f>
        <v>7000</v>
      </c>
      <c r="C64" s="126">
        <v>250</v>
      </c>
      <c r="D64" s="559">
        <v>240</v>
      </c>
      <c r="E64" s="559">
        <v>800</v>
      </c>
      <c r="F64" s="560">
        <f t="shared" ref="F64:F69" si="24">SUM(C64:E64)+B64/G83</f>
        <v>1365.2688172043011</v>
      </c>
      <c r="G64" s="561">
        <v>0.5</v>
      </c>
      <c r="H64" s="562">
        <v>8</v>
      </c>
      <c r="I64" s="563">
        <v>1500</v>
      </c>
      <c r="J64" s="149"/>
      <c r="K64" s="149"/>
      <c r="L64" s="149"/>
      <c r="M64" s="149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1:26" ht="13.5" customHeight="1" x14ac:dyDescent="0.35">
      <c r="A65" s="486" t="s">
        <v>448</v>
      </c>
      <c r="B65" s="428">
        <f t="shared" ref="B65:B66" si="25">SUM(B$105:B$106)</f>
        <v>0</v>
      </c>
      <c r="C65" s="126">
        <f t="shared" ref="C65:D65" si="26">C$107</f>
        <v>0</v>
      </c>
      <c r="D65" s="126">
        <f t="shared" si="26"/>
        <v>0</v>
      </c>
      <c r="E65" s="126">
        <v>700</v>
      </c>
      <c r="F65" s="408">
        <f t="shared" si="24"/>
        <v>700</v>
      </c>
      <c r="G65" s="564">
        <v>0.6</v>
      </c>
      <c r="H65" s="565">
        <v>10</v>
      </c>
      <c r="I65" s="485">
        <v>1500</v>
      </c>
      <c r="J65" s="149"/>
      <c r="K65" s="149"/>
      <c r="L65" s="149"/>
      <c r="M65" s="149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ht="14.25" customHeight="1" x14ac:dyDescent="0.35">
      <c r="A66" s="486" t="s">
        <v>449</v>
      </c>
      <c r="B66" s="428">
        <f t="shared" si="25"/>
        <v>0</v>
      </c>
      <c r="C66" s="126">
        <f t="shared" ref="C66:D66" si="27">C$107</f>
        <v>0</v>
      </c>
      <c r="D66" s="126">
        <f t="shared" si="27"/>
        <v>0</v>
      </c>
      <c r="E66" s="126">
        <v>650</v>
      </c>
      <c r="F66" s="408">
        <f t="shared" si="24"/>
        <v>650</v>
      </c>
      <c r="G66" s="564">
        <v>0.85</v>
      </c>
      <c r="H66" s="565">
        <v>8</v>
      </c>
      <c r="I66" s="485">
        <v>1500</v>
      </c>
      <c r="J66" s="149"/>
      <c r="K66" s="149"/>
      <c r="L66" s="149"/>
      <c r="M66" s="149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</row>
    <row r="67" spans="1:26" ht="14.25" customHeight="1" x14ac:dyDescent="0.35">
      <c r="A67" s="486" t="s">
        <v>450</v>
      </c>
      <c r="B67" s="428">
        <v>6500</v>
      </c>
      <c r="C67" s="566">
        <v>0</v>
      </c>
      <c r="D67" s="126">
        <v>240</v>
      </c>
      <c r="E67" s="126">
        <v>800</v>
      </c>
      <c r="F67" s="408">
        <f t="shared" si="24"/>
        <v>1322.608695652174</v>
      </c>
      <c r="G67" s="567">
        <v>0.7</v>
      </c>
      <c r="H67" s="565">
        <v>3.5</v>
      </c>
      <c r="I67" s="485">
        <v>1500</v>
      </c>
      <c r="J67" s="142"/>
      <c r="K67" s="149"/>
      <c r="L67" s="149"/>
      <c r="M67" s="149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</row>
    <row r="68" spans="1:26" ht="14.25" customHeight="1" x14ac:dyDescent="0.35">
      <c r="A68" s="486" t="s">
        <v>451</v>
      </c>
      <c r="B68" s="428">
        <f>Høstmøtet!N49</f>
        <v>6990.2912621359228</v>
      </c>
      <c r="C68" s="568">
        <f>(Høstmøtet!M49/Høstmøtet!J49)*0.6</f>
        <v>1140.4693877551019</v>
      </c>
      <c r="D68" s="568">
        <f>(Høstmøtet!M49/Høstmøtet!J49)*0.4</f>
        <v>760.31292517006807</v>
      </c>
      <c r="E68" s="569">
        <f>Høstmøtet!$H$32</f>
        <v>1000</v>
      </c>
      <c r="F68" s="408">
        <f t="shared" si="24"/>
        <v>3599.8114391387626</v>
      </c>
      <c r="G68" s="567">
        <v>0.5</v>
      </c>
      <c r="H68" s="565"/>
      <c r="I68" s="485"/>
      <c r="J68" s="126"/>
      <c r="K68" s="149"/>
      <c r="L68" s="149"/>
      <c r="M68" s="149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</row>
    <row r="69" spans="1:26" ht="14.25" customHeight="1" x14ac:dyDescent="0.35">
      <c r="A69" s="570" t="s">
        <v>452</v>
      </c>
      <c r="B69" s="571">
        <v>0</v>
      </c>
      <c r="C69" s="572">
        <v>350</v>
      </c>
      <c r="D69" s="572">
        <v>150</v>
      </c>
      <c r="E69" s="572">
        <v>800</v>
      </c>
      <c r="F69" s="573">
        <f t="shared" si="24"/>
        <v>1300</v>
      </c>
      <c r="G69" s="574">
        <v>1</v>
      </c>
      <c r="H69" s="575">
        <v>2</v>
      </c>
      <c r="I69" s="576"/>
      <c r="J69" s="149"/>
      <c r="K69" s="149"/>
      <c r="L69" s="149"/>
      <c r="M69" s="149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</row>
    <row r="70" spans="1:26" ht="14.25" customHeight="1" x14ac:dyDescent="0.3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49"/>
      <c r="L70" s="149"/>
      <c r="M70" s="149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</row>
    <row r="71" spans="1:26" ht="14.25" customHeight="1" x14ac:dyDescent="0.35">
      <c r="A71" s="160" t="s">
        <v>453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</row>
    <row r="72" spans="1:26" ht="27.75" customHeight="1" x14ac:dyDescent="0.35">
      <c r="A72" s="13" t="s">
        <v>438</v>
      </c>
      <c r="B72" s="553" t="s">
        <v>454</v>
      </c>
      <c r="C72" s="577" t="s">
        <v>131</v>
      </c>
      <c r="D72" s="578" t="s">
        <v>130</v>
      </c>
      <c r="E72" s="578" t="s">
        <v>129</v>
      </c>
      <c r="F72" s="579" t="s">
        <v>455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</row>
    <row r="73" spans="1:26" ht="14.25" customHeight="1" x14ac:dyDescent="0.35">
      <c r="A73" s="557" t="s">
        <v>456</v>
      </c>
      <c r="B73" s="580">
        <v>0</v>
      </c>
      <c r="C73" s="141">
        <f t="shared" ref="C73:C74" si="28">255*2</f>
        <v>510</v>
      </c>
      <c r="D73" s="581">
        <f t="shared" ref="D73:D74" si="29">240*2</f>
        <v>480</v>
      </c>
      <c r="E73" s="581">
        <v>500</v>
      </c>
      <c r="F73" s="582"/>
      <c r="G73" s="126" t="s">
        <v>135</v>
      </c>
      <c r="H73" s="126"/>
      <c r="I73" s="126"/>
      <c r="J73" s="149"/>
      <c r="K73" s="149"/>
      <c r="L73" s="149"/>
      <c r="M73" s="149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</row>
    <row r="74" spans="1:26" ht="14.25" customHeight="1" x14ac:dyDescent="0.35">
      <c r="A74" s="486" t="s">
        <v>457</v>
      </c>
      <c r="B74" s="583">
        <v>0</v>
      </c>
      <c r="C74" s="141">
        <f t="shared" si="28"/>
        <v>510</v>
      </c>
      <c r="D74" s="581">
        <f t="shared" si="29"/>
        <v>480</v>
      </c>
      <c r="E74" s="141">
        <v>1000</v>
      </c>
      <c r="F74" s="480"/>
      <c r="G74" s="126" t="s">
        <v>135</v>
      </c>
      <c r="H74" s="126"/>
      <c r="I74" s="126"/>
      <c r="J74" s="149"/>
      <c r="K74" s="149"/>
      <c r="L74" s="149"/>
      <c r="M74" s="149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</row>
    <row r="75" spans="1:26" ht="14.25" customHeight="1" x14ac:dyDescent="0.35">
      <c r="A75" s="486" t="s">
        <v>448</v>
      </c>
      <c r="B75" s="584">
        <f>6500+360</f>
        <v>6860</v>
      </c>
      <c r="C75" s="141"/>
      <c r="D75" s="566">
        <f>960.14+19.8+262.45+69.9+6198.71+3050.59+2242+153</f>
        <v>12956.59</v>
      </c>
      <c r="E75" s="141">
        <v>700</v>
      </c>
      <c r="F75" s="480"/>
      <c r="G75" s="126" t="s">
        <v>106</v>
      </c>
      <c r="H75" s="126"/>
      <c r="I75" s="126"/>
      <c r="J75" s="149"/>
      <c r="K75" s="149"/>
      <c r="L75" s="149"/>
      <c r="M75" s="149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</row>
    <row r="76" spans="1:26" ht="14.25" customHeight="1" x14ac:dyDescent="0.35">
      <c r="A76" s="486" t="s">
        <v>449</v>
      </c>
      <c r="B76" s="584">
        <v>8000</v>
      </c>
      <c r="C76" s="141"/>
      <c r="D76" s="566">
        <f>3500+5000</f>
        <v>8500</v>
      </c>
      <c r="E76" s="141">
        <v>650</v>
      </c>
      <c r="F76" s="480"/>
      <c r="G76" s="126" t="s">
        <v>106</v>
      </c>
      <c r="H76" s="126"/>
      <c r="I76" s="126"/>
      <c r="J76" s="149"/>
      <c r="K76" s="149"/>
      <c r="L76" s="149"/>
      <c r="M76" s="149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</row>
    <row r="77" spans="1:26" ht="14.25" customHeight="1" x14ac:dyDescent="0.35">
      <c r="A77" s="486" t="s">
        <v>450</v>
      </c>
      <c r="B77" s="584">
        <v>6500</v>
      </c>
      <c r="C77" s="141">
        <v>0</v>
      </c>
      <c r="D77" s="566">
        <v>2960</v>
      </c>
      <c r="E77" s="141">
        <v>800</v>
      </c>
      <c r="F77" s="585">
        <v>9</v>
      </c>
      <c r="G77" s="126" t="s">
        <v>106</v>
      </c>
      <c r="H77" s="126"/>
      <c r="I77" s="126"/>
      <c r="J77" s="142"/>
      <c r="K77" s="149"/>
      <c r="L77" s="149"/>
      <c r="M77" s="149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</row>
    <row r="78" spans="1:26" ht="14.25" customHeight="1" x14ac:dyDescent="0.35">
      <c r="A78" s="486" t="s">
        <v>451</v>
      </c>
      <c r="B78" s="583">
        <f>Høstmøtet!N57</f>
        <v>0</v>
      </c>
      <c r="C78" s="586" t="e">
        <f>(Høstmøtet!M57/Høstmøtet!J57)*0.6</f>
        <v>#DIV/0!</v>
      </c>
      <c r="D78" s="586" t="e">
        <f>(Høstmøtet!M57/Høstmøtet!J57)*0.4</f>
        <v>#DIV/0!</v>
      </c>
      <c r="E78" s="587">
        <f>Høstmøtet!$H$32</f>
        <v>1000</v>
      </c>
      <c r="F78" s="588"/>
      <c r="G78" s="126" t="s">
        <v>106</v>
      </c>
      <c r="H78" s="126"/>
      <c r="I78" s="126"/>
      <c r="J78" s="126"/>
      <c r="K78" s="149"/>
      <c r="L78" s="149"/>
      <c r="M78" s="149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</row>
    <row r="79" spans="1:26" ht="14.25" customHeight="1" x14ac:dyDescent="0.35">
      <c r="A79" s="570" t="s">
        <v>452</v>
      </c>
      <c r="B79" s="589">
        <v>0</v>
      </c>
      <c r="C79" s="572">
        <v>350</v>
      </c>
      <c r="D79" s="572">
        <v>150</v>
      </c>
      <c r="E79" s="572">
        <v>800</v>
      </c>
      <c r="F79" s="576"/>
      <c r="G79" s="126" t="s">
        <v>135</v>
      </c>
      <c r="H79" s="126"/>
      <c r="I79" s="126"/>
      <c r="J79" s="149"/>
      <c r="K79" s="149"/>
      <c r="L79" s="149"/>
      <c r="M79" s="149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 ht="14.25" customHeight="1" x14ac:dyDescent="0.3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 ht="14.25" customHeight="1" x14ac:dyDescent="0.35">
      <c r="A81" s="126"/>
      <c r="B81" s="957" t="s">
        <v>458</v>
      </c>
      <c r="C81" s="960"/>
      <c r="D81" s="960"/>
      <c r="E81" s="960"/>
      <c r="F81" s="958"/>
      <c r="G81" s="126"/>
      <c r="H81" s="966" t="s">
        <v>459</v>
      </c>
      <c r="I81" s="951"/>
      <c r="J81" s="951"/>
      <c r="K81" s="951"/>
      <c r="L81" s="951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 ht="14.25" customHeight="1" x14ac:dyDescent="0.35">
      <c r="A82" s="121" t="s">
        <v>438</v>
      </c>
      <c r="B82" s="121" t="s">
        <v>304</v>
      </c>
      <c r="C82" s="82" t="s">
        <v>305</v>
      </c>
      <c r="D82" s="82" t="s">
        <v>306</v>
      </c>
      <c r="E82" s="82" t="s">
        <v>460</v>
      </c>
      <c r="F82" s="82" t="s">
        <v>308</v>
      </c>
      <c r="G82" s="442" t="s">
        <v>151</v>
      </c>
      <c r="H82" s="82" t="s">
        <v>304</v>
      </c>
      <c r="I82" s="82" t="s">
        <v>305</v>
      </c>
      <c r="J82" s="82" t="s">
        <v>306</v>
      </c>
      <c r="K82" s="82" t="s">
        <v>460</v>
      </c>
      <c r="L82" s="590" t="s">
        <v>308</v>
      </c>
      <c r="M82" s="590" t="s">
        <v>151</v>
      </c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ht="14.25" customHeight="1" x14ac:dyDescent="0.35">
      <c r="A83" s="591" t="s">
        <v>447</v>
      </c>
      <c r="B83" s="441">
        <f t="shared" ref="B83:C83" si="30">B84+B86</f>
        <v>52</v>
      </c>
      <c r="C83" s="149">
        <f t="shared" si="30"/>
        <v>21</v>
      </c>
      <c r="D83" s="149">
        <f>B54</f>
        <v>2</v>
      </c>
      <c r="E83" s="149">
        <f>E84+E86</f>
        <v>12</v>
      </c>
      <c r="F83" s="149">
        <f>H11</f>
        <v>6</v>
      </c>
      <c r="G83" s="408">
        <f t="shared" ref="G83:G89" si="31">SUM(B83:F83)</f>
        <v>93</v>
      </c>
      <c r="H83" s="592">
        <f t="shared" ref="H83:L83" si="32">B83/$G83</f>
        <v>0.55913978494623651</v>
      </c>
      <c r="I83" s="592">
        <f t="shared" si="32"/>
        <v>0.22580645161290322</v>
      </c>
      <c r="J83" s="592">
        <f t="shared" si="32"/>
        <v>2.1505376344086023E-2</v>
      </c>
      <c r="K83" s="592">
        <f t="shared" si="32"/>
        <v>0.12903225806451613</v>
      </c>
      <c r="L83" s="593">
        <f t="shared" si="32"/>
        <v>6.4516129032258063E-2</v>
      </c>
      <c r="M83" s="593">
        <f t="shared" ref="M83:M89" si="33">SUM(H83:L83)</f>
        <v>1</v>
      </c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</row>
    <row r="84" spans="1:26" ht="14.25" customHeight="1" x14ac:dyDescent="0.35">
      <c r="A84" s="591" t="s">
        <v>448</v>
      </c>
      <c r="B84" s="441">
        <f>SUM(B$8:C$8)</f>
        <v>37</v>
      </c>
      <c r="C84" s="149">
        <f>SUM(D$8)</f>
        <v>13</v>
      </c>
      <c r="D84" s="149">
        <f>B$54</f>
        <v>2</v>
      </c>
      <c r="E84" s="149">
        <f>SUM(F8:G8)</f>
        <v>12</v>
      </c>
      <c r="F84" s="149">
        <f>F83</f>
        <v>6</v>
      </c>
      <c r="G84" s="408">
        <f t="shared" si="31"/>
        <v>70</v>
      </c>
      <c r="H84" s="592">
        <f t="shared" ref="H84:L84" si="34">B84/$G84</f>
        <v>0.52857142857142858</v>
      </c>
      <c r="I84" s="592">
        <f t="shared" si="34"/>
        <v>0.18571428571428572</v>
      </c>
      <c r="J84" s="592">
        <f t="shared" si="34"/>
        <v>2.8571428571428571E-2</v>
      </c>
      <c r="K84" s="592">
        <f t="shared" si="34"/>
        <v>0.17142857142857143</v>
      </c>
      <c r="L84" s="593">
        <f t="shared" si="34"/>
        <v>8.5714285714285715E-2</v>
      </c>
      <c r="M84" s="593">
        <f t="shared" si="33"/>
        <v>1</v>
      </c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ht="14.25" customHeight="1" x14ac:dyDescent="0.35">
      <c r="A85" s="591" t="s">
        <v>449</v>
      </c>
      <c r="B85" s="594"/>
      <c r="C85" s="149">
        <f>D12</f>
        <v>65</v>
      </c>
      <c r="D85" s="595"/>
      <c r="E85" s="595"/>
      <c r="F85" s="595"/>
      <c r="G85" s="486">
        <f t="shared" si="31"/>
        <v>65</v>
      </c>
      <c r="H85" s="595">
        <f t="shared" ref="H85:L85" si="35">B85/$G85</f>
        <v>0</v>
      </c>
      <c r="I85" s="592">
        <f t="shared" si="35"/>
        <v>1</v>
      </c>
      <c r="J85" s="595">
        <f t="shared" si="35"/>
        <v>0</v>
      </c>
      <c r="K85" s="595">
        <f t="shared" si="35"/>
        <v>0</v>
      </c>
      <c r="L85" s="596">
        <f t="shared" si="35"/>
        <v>0</v>
      </c>
      <c r="M85" s="593">
        <f t="shared" si="33"/>
        <v>1</v>
      </c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ht="14.25" customHeight="1" x14ac:dyDescent="0.35">
      <c r="A86" s="591" t="s">
        <v>450</v>
      </c>
      <c r="B86" s="441">
        <f>B16</f>
        <v>15</v>
      </c>
      <c r="C86" s="149">
        <f>D16</f>
        <v>8</v>
      </c>
      <c r="D86" s="595"/>
      <c r="E86" s="149">
        <f>SUM(F16:G16)</f>
        <v>0</v>
      </c>
      <c r="F86" s="149">
        <f>H16</f>
        <v>0</v>
      </c>
      <c r="G86" s="408">
        <f t="shared" si="31"/>
        <v>23</v>
      </c>
      <c r="H86" s="592">
        <f t="shared" ref="H86:L86" si="36">B86/$G86</f>
        <v>0.65217391304347827</v>
      </c>
      <c r="I86" s="592">
        <f t="shared" si="36"/>
        <v>0.34782608695652173</v>
      </c>
      <c r="J86" s="595">
        <f t="shared" si="36"/>
        <v>0</v>
      </c>
      <c r="K86" s="592">
        <f t="shared" si="36"/>
        <v>0</v>
      </c>
      <c r="L86" s="593">
        <f t="shared" si="36"/>
        <v>0</v>
      </c>
      <c r="M86" s="593">
        <f t="shared" si="33"/>
        <v>1</v>
      </c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</row>
    <row r="87" spans="1:26" ht="14.25" customHeight="1" x14ac:dyDescent="0.35">
      <c r="A87" s="591" t="s">
        <v>451</v>
      </c>
      <c r="B87" s="591">
        <f>2*B14</f>
        <v>6</v>
      </c>
      <c r="C87" s="126">
        <f>2*C88</f>
        <v>4</v>
      </c>
      <c r="D87" s="595"/>
      <c r="E87" s="126">
        <f>2*E88</f>
        <v>0</v>
      </c>
      <c r="F87" s="126">
        <f>2*H14</f>
        <v>0</v>
      </c>
      <c r="G87" s="486">
        <f t="shared" si="31"/>
        <v>10</v>
      </c>
      <c r="H87" s="592">
        <f t="shared" ref="H87:L87" si="37">B87/$G87</f>
        <v>0.6</v>
      </c>
      <c r="I87" s="592">
        <f t="shared" si="37"/>
        <v>0.4</v>
      </c>
      <c r="J87" s="595">
        <f t="shared" si="37"/>
        <v>0</v>
      </c>
      <c r="K87" s="592">
        <f t="shared" si="37"/>
        <v>0</v>
      </c>
      <c r="L87" s="593">
        <f t="shared" si="37"/>
        <v>0</v>
      </c>
      <c r="M87" s="593">
        <f t="shared" si="33"/>
        <v>1</v>
      </c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</row>
    <row r="88" spans="1:26" ht="14.25" customHeight="1" x14ac:dyDescent="0.35">
      <c r="A88" s="591" t="s">
        <v>452</v>
      </c>
      <c r="B88" s="597">
        <f>B14</f>
        <v>3</v>
      </c>
      <c r="C88" s="598">
        <f>D14</f>
        <v>2</v>
      </c>
      <c r="D88" s="595"/>
      <c r="E88" s="598">
        <f>SUM(F14:G14)</f>
        <v>0</v>
      </c>
      <c r="F88" s="598">
        <f>H14</f>
        <v>0</v>
      </c>
      <c r="G88" s="599">
        <f t="shared" si="31"/>
        <v>5</v>
      </c>
      <c r="H88" s="592">
        <f t="shared" ref="H88:L88" si="38">B88/$G88</f>
        <v>0.6</v>
      </c>
      <c r="I88" s="592">
        <f t="shared" si="38"/>
        <v>0.4</v>
      </c>
      <c r="J88" s="595">
        <f t="shared" si="38"/>
        <v>0</v>
      </c>
      <c r="K88" s="592">
        <f t="shared" si="38"/>
        <v>0</v>
      </c>
      <c r="L88" s="593">
        <f t="shared" si="38"/>
        <v>0</v>
      </c>
      <c r="M88" s="593">
        <f t="shared" si="33"/>
        <v>1</v>
      </c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</row>
    <row r="89" spans="1:26" ht="14.25" customHeight="1" x14ac:dyDescent="0.35">
      <c r="A89" s="591" t="s">
        <v>461</v>
      </c>
      <c r="B89" s="594"/>
      <c r="C89" s="595"/>
      <c r="D89" s="149">
        <f>B50</f>
        <v>1</v>
      </c>
      <c r="E89" s="595"/>
      <c r="F89" s="595"/>
      <c r="G89" s="486">
        <f t="shared" si="31"/>
        <v>1</v>
      </c>
      <c r="H89" s="600">
        <f t="shared" ref="H89:L89" si="39">B89/$G89</f>
        <v>0</v>
      </c>
      <c r="I89" s="600">
        <f t="shared" si="39"/>
        <v>0</v>
      </c>
      <c r="J89" s="601">
        <f t="shared" si="39"/>
        <v>1</v>
      </c>
      <c r="K89" s="600">
        <f t="shared" si="39"/>
        <v>0</v>
      </c>
      <c r="L89" s="602">
        <f t="shared" si="39"/>
        <v>0</v>
      </c>
      <c r="M89" s="593">
        <f t="shared" si="33"/>
        <v>1</v>
      </c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  <row r="90" spans="1:26" ht="14.25" customHeight="1" x14ac:dyDescent="0.35">
      <c r="A90" s="11" t="s">
        <v>462</v>
      </c>
      <c r="B90" s="603">
        <f t="shared" ref="B90:G90" si="40">SUM(B83:B89)</f>
        <v>113</v>
      </c>
      <c r="C90" s="60">
        <f t="shared" si="40"/>
        <v>113</v>
      </c>
      <c r="D90" s="60">
        <f t="shared" si="40"/>
        <v>5</v>
      </c>
      <c r="E90" s="60">
        <f t="shared" si="40"/>
        <v>24</v>
      </c>
      <c r="F90" s="60">
        <f t="shared" si="40"/>
        <v>12</v>
      </c>
      <c r="G90" s="61">
        <f t="shared" si="40"/>
        <v>267</v>
      </c>
      <c r="H90" s="60"/>
      <c r="I90" s="60"/>
      <c r="J90" s="60"/>
      <c r="K90" s="60"/>
      <c r="L90" s="60"/>
      <c r="M90" s="604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</row>
    <row r="91" spans="1:26" ht="14.25" customHeight="1" x14ac:dyDescent="0.3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</row>
    <row r="92" spans="1:26" ht="14.25" customHeight="1" x14ac:dyDescent="0.3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</row>
    <row r="93" spans="1:26" ht="14.25" customHeight="1" x14ac:dyDescent="0.3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ht="14.25" customHeight="1" x14ac:dyDescent="0.3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</row>
    <row r="95" spans="1:26" ht="14.25" customHeight="1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</row>
    <row r="96" spans="1:26" ht="14.25" customHeight="1" x14ac:dyDescent="0.3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</row>
    <row r="97" spans="1:26" ht="14.25" customHeight="1" x14ac:dyDescent="0.3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</row>
    <row r="98" spans="1:26" ht="14.25" customHeight="1" x14ac:dyDescent="0.3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</row>
    <row r="99" spans="1:26" ht="14.25" customHeight="1" x14ac:dyDescent="0.3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</row>
    <row r="100" spans="1:26" ht="14.25" customHeight="1" x14ac:dyDescent="0.3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</row>
    <row r="101" spans="1:26" ht="14.25" customHeight="1" x14ac:dyDescent="0.3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</row>
    <row r="102" spans="1:26" ht="14.25" customHeight="1" x14ac:dyDescent="0.3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</row>
    <row r="103" spans="1:26" ht="14.25" customHeight="1" x14ac:dyDescent="0.3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</row>
    <row r="104" spans="1:26" ht="14.25" customHeight="1" x14ac:dyDescent="0.3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</row>
    <row r="105" spans="1:26" ht="14.25" customHeight="1" x14ac:dyDescent="0.3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</row>
    <row r="106" spans="1:26" ht="14.25" customHeight="1" x14ac:dyDescent="0.3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</row>
    <row r="107" spans="1:26" ht="14.25" customHeight="1" x14ac:dyDescent="0.3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</row>
    <row r="108" spans="1:26" ht="14.25" customHeight="1" x14ac:dyDescent="0.3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</row>
    <row r="109" spans="1:26" ht="14.25" customHeight="1" x14ac:dyDescent="0.3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ht="14.25" customHeight="1" x14ac:dyDescent="0.3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</row>
    <row r="111" spans="1:26" ht="14.25" customHeight="1" x14ac:dyDescent="0.3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</row>
    <row r="112" spans="1:26" ht="14.25" customHeight="1" x14ac:dyDescent="0.3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ht="14.25" customHeight="1" x14ac:dyDescent="0.3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</row>
    <row r="114" spans="1:26" ht="14.25" customHeight="1" x14ac:dyDescent="0.3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ht="14.25" customHeight="1" x14ac:dyDescent="0.3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</row>
    <row r="116" spans="1:26" ht="14.25" customHeight="1" x14ac:dyDescent="0.3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</row>
    <row r="117" spans="1:26" ht="14.25" customHeight="1" x14ac:dyDescent="0.3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</row>
    <row r="118" spans="1:26" ht="14.25" customHeight="1" x14ac:dyDescent="0.3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</row>
    <row r="119" spans="1:26" ht="14.25" customHeight="1" x14ac:dyDescent="0.3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</row>
    <row r="120" spans="1:26" ht="14.25" customHeight="1" x14ac:dyDescent="0.3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</row>
    <row r="121" spans="1:26" ht="14.25" customHeight="1" x14ac:dyDescent="0.3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</row>
    <row r="122" spans="1:26" ht="14.25" customHeight="1" x14ac:dyDescent="0.3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</row>
    <row r="123" spans="1:26" ht="14.25" customHeight="1" x14ac:dyDescent="0.3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</row>
    <row r="124" spans="1:26" ht="14.25" customHeight="1" x14ac:dyDescent="0.3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</row>
    <row r="125" spans="1:26" ht="14.25" customHeight="1" x14ac:dyDescent="0.3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</row>
    <row r="126" spans="1:26" ht="14.25" customHeight="1" x14ac:dyDescent="0.35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</row>
    <row r="127" spans="1:26" ht="14.25" customHeight="1" x14ac:dyDescent="0.3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</row>
    <row r="128" spans="1:26" ht="14.25" customHeight="1" x14ac:dyDescent="0.3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</row>
    <row r="129" spans="1:26" ht="14.25" customHeight="1" x14ac:dyDescent="0.3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</row>
    <row r="130" spans="1:26" ht="14.25" customHeight="1" x14ac:dyDescent="0.3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</row>
    <row r="131" spans="1:26" ht="14.25" customHeight="1" x14ac:dyDescent="0.3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</row>
    <row r="132" spans="1:26" ht="14.25" customHeight="1" x14ac:dyDescent="0.3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</row>
    <row r="133" spans="1:26" ht="14.25" customHeight="1" x14ac:dyDescent="0.3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</row>
    <row r="134" spans="1:26" ht="14.25" customHeight="1" x14ac:dyDescent="0.3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</row>
    <row r="135" spans="1:26" ht="14.25" customHeight="1" x14ac:dyDescent="0.3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</row>
    <row r="136" spans="1:26" ht="14.25" customHeight="1" x14ac:dyDescent="0.3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</row>
    <row r="137" spans="1:26" ht="14.25" customHeight="1" x14ac:dyDescent="0.3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</row>
    <row r="138" spans="1:26" ht="14.25" customHeight="1" x14ac:dyDescent="0.3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</row>
    <row r="139" spans="1:26" ht="14.25" customHeight="1" x14ac:dyDescent="0.3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</row>
    <row r="140" spans="1:26" ht="14.25" customHeight="1" x14ac:dyDescent="0.3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</row>
    <row r="141" spans="1:26" ht="14.25" customHeight="1" x14ac:dyDescent="0.3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</row>
    <row r="142" spans="1:26" ht="14.25" customHeight="1" x14ac:dyDescent="0.3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</row>
    <row r="143" spans="1:26" ht="14.25" customHeight="1" x14ac:dyDescent="0.3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</row>
    <row r="144" spans="1:26" ht="14.25" customHeight="1" x14ac:dyDescent="0.3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</row>
    <row r="145" spans="1:26" ht="14.25" customHeight="1" x14ac:dyDescent="0.3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</row>
    <row r="146" spans="1:26" ht="14.25" customHeight="1" x14ac:dyDescent="0.3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</row>
    <row r="147" spans="1:26" ht="14.25" customHeight="1" x14ac:dyDescent="0.3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</row>
    <row r="148" spans="1:26" ht="14.25" customHeight="1" x14ac:dyDescent="0.3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</row>
    <row r="149" spans="1:26" ht="14.25" customHeight="1" x14ac:dyDescent="0.3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</row>
    <row r="150" spans="1:26" ht="14.25" customHeight="1" x14ac:dyDescent="0.3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</row>
    <row r="151" spans="1:26" ht="14.25" customHeight="1" x14ac:dyDescent="0.3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</row>
    <row r="152" spans="1:26" ht="14.25" customHeight="1" x14ac:dyDescent="0.3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</row>
    <row r="153" spans="1:26" ht="14.25" customHeight="1" x14ac:dyDescent="0.3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</row>
    <row r="154" spans="1:26" ht="14.25" customHeight="1" x14ac:dyDescent="0.3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</row>
    <row r="155" spans="1:26" ht="14.25" customHeight="1" x14ac:dyDescent="0.3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</row>
    <row r="156" spans="1:26" ht="14.25" customHeight="1" x14ac:dyDescent="0.3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</row>
    <row r="157" spans="1:26" ht="14.25" customHeight="1" x14ac:dyDescent="0.3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</row>
    <row r="158" spans="1:26" ht="14.25" customHeight="1" x14ac:dyDescent="0.3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</row>
    <row r="159" spans="1:26" ht="14.25" customHeight="1" x14ac:dyDescent="0.3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</row>
    <row r="160" spans="1:26" ht="14.25" customHeight="1" x14ac:dyDescent="0.3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</row>
    <row r="161" spans="1:26" ht="14.25" customHeight="1" x14ac:dyDescent="0.3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</row>
    <row r="162" spans="1:26" ht="14.25" customHeight="1" x14ac:dyDescent="0.3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</row>
    <row r="163" spans="1:26" ht="14.25" customHeight="1" x14ac:dyDescent="0.3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</row>
    <row r="164" spans="1:26" ht="14.25" customHeight="1" x14ac:dyDescent="0.3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</row>
    <row r="165" spans="1:26" ht="14.25" customHeight="1" x14ac:dyDescent="0.3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</row>
    <row r="166" spans="1:26" ht="14.25" customHeight="1" x14ac:dyDescent="0.3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</row>
    <row r="167" spans="1:26" ht="14.25" customHeight="1" x14ac:dyDescent="0.3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</row>
    <row r="168" spans="1:26" ht="14.25" customHeight="1" x14ac:dyDescent="0.3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</row>
    <row r="169" spans="1:26" ht="14.25" customHeight="1" x14ac:dyDescent="0.3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</row>
    <row r="170" spans="1:26" ht="14.25" customHeight="1" x14ac:dyDescent="0.3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</row>
    <row r="171" spans="1:26" ht="14.25" customHeight="1" x14ac:dyDescent="0.3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</row>
    <row r="172" spans="1:26" ht="14.25" customHeight="1" x14ac:dyDescent="0.3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</row>
    <row r="173" spans="1:26" ht="14.25" customHeight="1" x14ac:dyDescent="0.3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</row>
    <row r="174" spans="1:26" ht="14.25" customHeight="1" x14ac:dyDescent="0.3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</row>
    <row r="175" spans="1:26" ht="14.25" customHeight="1" x14ac:dyDescent="0.3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</row>
    <row r="176" spans="1:26" ht="14.25" customHeight="1" x14ac:dyDescent="0.3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</row>
    <row r="177" spans="1:26" ht="14.25" customHeight="1" x14ac:dyDescent="0.3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</row>
    <row r="178" spans="1:26" ht="14.25" customHeight="1" x14ac:dyDescent="0.3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</row>
    <row r="179" spans="1:26" ht="14.25" customHeight="1" x14ac:dyDescent="0.3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</row>
    <row r="180" spans="1:26" ht="14.25" customHeight="1" x14ac:dyDescent="0.3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</row>
    <row r="181" spans="1:26" ht="14.25" customHeight="1" x14ac:dyDescent="0.3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</row>
    <row r="182" spans="1:26" ht="14.25" customHeight="1" x14ac:dyDescent="0.3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</row>
    <row r="183" spans="1:26" ht="14.25" customHeight="1" x14ac:dyDescent="0.3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</row>
    <row r="184" spans="1:26" ht="14.25" customHeight="1" x14ac:dyDescent="0.3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</row>
    <row r="185" spans="1:26" ht="14.25" customHeight="1" x14ac:dyDescent="0.3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</row>
    <row r="186" spans="1:26" ht="14.25" customHeight="1" x14ac:dyDescent="0.3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</row>
    <row r="187" spans="1:26" ht="14.25" customHeight="1" x14ac:dyDescent="0.3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</row>
    <row r="188" spans="1:26" ht="14.25" customHeight="1" x14ac:dyDescent="0.3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</row>
    <row r="189" spans="1:26" ht="14.25" customHeight="1" x14ac:dyDescent="0.3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</row>
    <row r="190" spans="1:26" ht="14.25" customHeight="1" x14ac:dyDescent="0.3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</row>
    <row r="191" spans="1:26" ht="14.25" customHeight="1" x14ac:dyDescent="0.3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</row>
    <row r="192" spans="1:26" ht="14.25" customHeight="1" x14ac:dyDescent="0.3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</row>
    <row r="193" spans="1:26" ht="14.25" customHeight="1" x14ac:dyDescent="0.3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</row>
    <row r="194" spans="1:26" ht="14.25" customHeight="1" x14ac:dyDescent="0.3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</row>
    <row r="195" spans="1:26" ht="14.25" customHeight="1" x14ac:dyDescent="0.3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</row>
    <row r="196" spans="1:26" ht="14.25" customHeight="1" x14ac:dyDescent="0.3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</row>
    <row r="197" spans="1:26" ht="14.25" customHeight="1" x14ac:dyDescent="0.3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</row>
    <row r="198" spans="1:26" ht="14.25" customHeight="1" x14ac:dyDescent="0.35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</row>
    <row r="199" spans="1:26" ht="14.25" customHeight="1" x14ac:dyDescent="0.35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</row>
    <row r="200" spans="1:26" ht="14.25" customHeight="1" x14ac:dyDescent="0.3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</row>
    <row r="201" spans="1:26" ht="14.25" customHeight="1" x14ac:dyDescent="0.3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</row>
    <row r="202" spans="1:26" ht="14.25" customHeight="1" x14ac:dyDescent="0.3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</row>
    <row r="203" spans="1:26" ht="14.25" customHeight="1" x14ac:dyDescent="0.3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</row>
    <row r="204" spans="1:26" ht="14.25" customHeight="1" x14ac:dyDescent="0.35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</row>
    <row r="205" spans="1:26" ht="14.25" customHeight="1" x14ac:dyDescent="0.35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</row>
    <row r="206" spans="1:26" ht="14.25" customHeight="1" x14ac:dyDescent="0.35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</row>
    <row r="207" spans="1:26" ht="14.25" customHeight="1" x14ac:dyDescent="0.35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</row>
    <row r="208" spans="1:26" ht="14.25" customHeight="1" x14ac:dyDescent="0.35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</row>
    <row r="209" spans="1:26" ht="14.25" customHeight="1" x14ac:dyDescent="0.3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</row>
    <row r="210" spans="1:26" ht="14.25" customHeight="1" x14ac:dyDescent="0.35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</row>
    <row r="211" spans="1:26" ht="14.25" customHeight="1" x14ac:dyDescent="0.3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</row>
    <row r="212" spans="1:26" ht="14.25" customHeight="1" x14ac:dyDescent="0.3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</row>
    <row r="213" spans="1:26" ht="14.25" customHeight="1" x14ac:dyDescent="0.35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</row>
    <row r="214" spans="1:26" ht="14.25" customHeight="1" x14ac:dyDescent="0.35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</row>
    <row r="215" spans="1:26" ht="14.25" customHeight="1" x14ac:dyDescent="0.3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</row>
    <row r="216" spans="1:26" ht="14.25" customHeight="1" x14ac:dyDescent="0.3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</row>
    <row r="217" spans="1:26" ht="14.25" customHeight="1" x14ac:dyDescent="0.3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</row>
    <row r="218" spans="1:26" ht="14.25" customHeight="1" x14ac:dyDescent="0.3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</row>
    <row r="219" spans="1:26" ht="14.25" customHeight="1" x14ac:dyDescent="0.35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</row>
    <row r="220" spans="1:26" ht="14.25" customHeight="1" x14ac:dyDescent="0.35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</row>
    <row r="221" spans="1:26" ht="14.25" customHeight="1" x14ac:dyDescent="0.35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</row>
    <row r="222" spans="1:26" ht="14.25" customHeight="1" x14ac:dyDescent="0.35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</row>
    <row r="223" spans="1:26" ht="14.25" customHeight="1" x14ac:dyDescent="0.35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</row>
    <row r="224" spans="1:26" ht="14.25" customHeight="1" x14ac:dyDescent="0.35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</row>
    <row r="225" spans="1:26" ht="14.25" customHeight="1" x14ac:dyDescent="0.3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</row>
    <row r="226" spans="1:26" ht="14.25" customHeight="1" x14ac:dyDescent="0.3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</row>
    <row r="227" spans="1:26" ht="14.25" customHeight="1" x14ac:dyDescent="0.3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</row>
    <row r="228" spans="1:26" ht="14.25" customHeight="1" x14ac:dyDescent="0.35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ht="14.25" customHeight="1" x14ac:dyDescent="0.35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</row>
    <row r="230" spans="1:26" ht="14.25" customHeight="1" x14ac:dyDescent="0.35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</row>
    <row r="231" spans="1:26" ht="14.25" customHeight="1" x14ac:dyDescent="0.35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</row>
    <row r="232" spans="1:26" ht="14.25" customHeight="1" x14ac:dyDescent="0.35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</row>
    <row r="233" spans="1:26" ht="14.25" customHeight="1" x14ac:dyDescent="0.35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ht="14.25" customHeight="1" x14ac:dyDescent="0.35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</row>
    <row r="235" spans="1:26" ht="14.25" customHeight="1" x14ac:dyDescent="0.35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</row>
    <row r="236" spans="1:26" ht="14.25" customHeight="1" x14ac:dyDescent="0.35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</row>
    <row r="237" spans="1:26" ht="14.25" customHeight="1" x14ac:dyDescent="0.35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</row>
    <row r="238" spans="1:26" ht="14.25" customHeight="1" x14ac:dyDescent="0.35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</row>
    <row r="239" spans="1:26" ht="14.25" customHeight="1" x14ac:dyDescent="0.35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</row>
    <row r="240" spans="1:26" ht="14.25" customHeight="1" x14ac:dyDescent="0.35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</row>
    <row r="241" spans="1:26" ht="14.25" customHeight="1" x14ac:dyDescent="0.3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</row>
    <row r="242" spans="1:26" ht="14.25" customHeight="1" x14ac:dyDescent="0.35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</row>
    <row r="243" spans="1:26" ht="14.25" customHeight="1" x14ac:dyDescent="0.3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</row>
    <row r="244" spans="1:26" ht="14.25" customHeight="1" x14ac:dyDescent="0.35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</row>
    <row r="245" spans="1:26" ht="14.25" customHeight="1" x14ac:dyDescent="0.3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</row>
    <row r="246" spans="1:26" ht="14.25" customHeight="1" x14ac:dyDescent="0.35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</row>
    <row r="247" spans="1:26" ht="14.25" customHeight="1" x14ac:dyDescent="0.35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</row>
    <row r="248" spans="1:26" ht="14.25" customHeight="1" x14ac:dyDescent="0.35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</row>
    <row r="249" spans="1:26" ht="14.25" customHeight="1" x14ac:dyDescent="0.35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</row>
    <row r="250" spans="1:26" ht="14.25" customHeight="1" x14ac:dyDescent="0.35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</row>
    <row r="251" spans="1:26" ht="14.25" customHeight="1" x14ac:dyDescent="0.35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</row>
    <row r="252" spans="1:26" ht="14.25" customHeight="1" x14ac:dyDescent="0.35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</row>
    <row r="253" spans="1:26" ht="14.25" customHeight="1" x14ac:dyDescent="0.35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</row>
    <row r="254" spans="1:26" ht="14.25" customHeight="1" x14ac:dyDescent="0.35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</row>
    <row r="255" spans="1:26" ht="14.25" customHeight="1" x14ac:dyDescent="0.3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</row>
    <row r="256" spans="1:26" ht="14.25" customHeight="1" x14ac:dyDescent="0.35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</row>
    <row r="257" spans="1:26" ht="14.25" customHeight="1" x14ac:dyDescent="0.35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</row>
    <row r="258" spans="1:26" ht="14.25" customHeight="1" x14ac:dyDescent="0.35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</row>
    <row r="259" spans="1:26" ht="14.25" customHeight="1" x14ac:dyDescent="0.35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</row>
    <row r="260" spans="1:26" ht="14.25" customHeight="1" x14ac:dyDescent="0.35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</row>
    <row r="261" spans="1:26" ht="14.25" customHeight="1" x14ac:dyDescent="0.35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</row>
    <row r="262" spans="1:26" ht="14.25" customHeight="1" x14ac:dyDescent="0.35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</row>
    <row r="263" spans="1:26" ht="14.25" customHeight="1" x14ac:dyDescent="0.35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</row>
    <row r="264" spans="1:26" ht="14.25" customHeight="1" x14ac:dyDescent="0.35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</row>
    <row r="265" spans="1:26" ht="14.25" customHeight="1" x14ac:dyDescent="0.35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</row>
    <row r="266" spans="1:26" ht="14.25" customHeight="1" x14ac:dyDescent="0.35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</row>
    <row r="267" spans="1:26" ht="14.25" customHeight="1" x14ac:dyDescent="0.35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</row>
    <row r="268" spans="1:26" ht="14.25" customHeight="1" x14ac:dyDescent="0.35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</row>
    <row r="269" spans="1:26" ht="14.25" customHeight="1" x14ac:dyDescent="0.35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</row>
    <row r="270" spans="1:26" ht="14.25" customHeight="1" x14ac:dyDescent="0.35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</row>
    <row r="271" spans="1:26" ht="14.25" customHeight="1" x14ac:dyDescent="0.35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</row>
    <row r="272" spans="1:26" ht="14.25" customHeight="1" x14ac:dyDescent="0.35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</row>
    <row r="273" spans="1:26" ht="14.25" customHeight="1" x14ac:dyDescent="0.35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</row>
    <row r="274" spans="1:26" ht="14.25" customHeight="1" x14ac:dyDescent="0.35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</row>
    <row r="275" spans="1:26" ht="14.25" customHeight="1" x14ac:dyDescent="0.35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</row>
    <row r="276" spans="1:26" ht="14.25" customHeight="1" x14ac:dyDescent="0.35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</row>
    <row r="277" spans="1:26" ht="14.25" customHeight="1" x14ac:dyDescent="0.35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</row>
    <row r="278" spans="1:26" ht="14.25" customHeight="1" x14ac:dyDescent="0.35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</row>
    <row r="279" spans="1:26" ht="14.25" customHeight="1" x14ac:dyDescent="0.35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</row>
    <row r="280" spans="1:26" ht="14.25" customHeight="1" x14ac:dyDescent="0.35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</row>
    <row r="281" spans="1:26" ht="14.25" customHeight="1" x14ac:dyDescent="0.35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</row>
    <row r="282" spans="1:26" ht="14.25" customHeight="1" x14ac:dyDescent="0.35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</row>
    <row r="283" spans="1:26" ht="14.25" customHeight="1" x14ac:dyDescent="0.35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</row>
    <row r="284" spans="1:26" ht="14.25" customHeight="1" x14ac:dyDescent="0.35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</row>
    <row r="285" spans="1:26" ht="14.25" customHeight="1" x14ac:dyDescent="0.35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</row>
    <row r="286" spans="1:26" ht="14.25" customHeight="1" x14ac:dyDescent="0.35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</row>
    <row r="287" spans="1:26" ht="14.25" customHeight="1" x14ac:dyDescent="0.35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</row>
    <row r="288" spans="1:26" ht="14.25" customHeight="1" x14ac:dyDescent="0.35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</row>
    <row r="289" spans="1:26" ht="14.25" customHeight="1" x14ac:dyDescent="0.35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</row>
    <row r="290" spans="1:26" ht="14.25" customHeight="1" x14ac:dyDescent="0.35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</row>
    <row r="291" spans="1:26" ht="14.25" customHeight="1" x14ac:dyDescent="0.3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</row>
    <row r="292" spans="1:26" ht="14.25" customHeight="1" x14ac:dyDescent="0.3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</row>
    <row r="293" spans="1:26" ht="14.25" customHeight="1" x14ac:dyDescent="0.35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</row>
    <row r="294" spans="1:26" ht="14.25" customHeight="1" x14ac:dyDescent="0.35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</row>
    <row r="295" spans="1:26" ht="14.25" customHeight="1" x14ac:dyDescent="0.35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</row>
    <row r="296" spans="1:26" ht="14.25" customHeight="1" x14ac:dyDescent="0.35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</row>
    <row r="297" spans="1:26" ht="14.25" customHeight="1" x14ac:dyDescent="0.35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</row>
    <row r="298" spans="1:26" ht="14.25" customHeight="1" x14ac:dyDescent="0.35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</row>
    <row r="299" spans="1:26" ht="14.25" customHeight="1" x14ac:dyDescent="0.35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</row>
    <row r="300" spans="1:26" ht="14.25" customHeight="1" x14ac:dyDescent="0.35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</row>
    <row r="301" spans="1:26" ht="14.25" customHeight="1" x14ac:dyDescent="0.35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</row>
    <row r="302" spans="1:26" ht="14.25" customHeight="1" x14ac:dyDescent="0.35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</row>
    <row r="303" spans="1:26" ht="14.25" customHeight="1" x14ac:dyDescent="0.35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</row>
    <row r="304" spans="1:26" ht="14.25" customHeight="1" x14ac:dyDescent="0.35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</row>
    <row r="305" spans="1:26" ht="14.25" customHeight="1" x14ac:dyDescent="0.35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</row>
    <row r="306" spans="1:26" ht="14.25" customHeight="1" x14ac:dyDescent="0.35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</row>
    <row r="307" spans="1:26" ht="14.25" customHeight="1" x14ac:dyDescent="0.35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</row>
    <row r="308" spans="1:26" ht="14.25" customHeight="1" x14ac:dyDescent="0.35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</row>
    <row r="309" spans="1:26" ht="14.25" customHeight="1" x14ac:dyDescent="0.35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</row>
    <row r="310" spans="1:26" ht="14.25" customHeight="1" x14ac:dyDescent="0.3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</row>
    <row r="311" spans="1:26" ht="14.25" customHeight="1" x14ac:dyDescent="0.3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</row>
    <row r="312" spans="1:26" ht="14.25" customHeight="1" x14ac:dyDescent="0.35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</row>
    <row r="313" spans="1:26" ht="14.25" customHeight="1" x14ac:dyDescent="0.35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</row>
    <row r="314" spans="1:26" ht="14.25" customHeight="1" x14ac:dyDescent="0.35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</row>
    <row r="315" spans="1:26" ht="14.25" customHeight="1" x14ac:dyDescent="0.35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</row>
    <row r="316" spans="1:26" ht="14.25" customHeight="1" x14ac:dyDescent="0.35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</row>
    <row r="317" spans="1:26" ht="14.25" customHeight="1" x14ac:dyDescent="0.35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</row>
    <row r="318" spans="1:26" ht="14.25" customHeight="1" x14ac:dyDescent="0.35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</row>
    <row r="319" spans="1:26" ht="14.25" customHeight="1" x14ac:dyDescent="0.35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</row>
    <row r="320" spans="1:26" ht="14.25" customHeight="1" x14ac:dyDescent="0.35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</row>
    <row r="321" spans="1:26" ht="14.25" customHeight="1" x14ac:dyDescent="0.35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</row>
    <row r="322" spans="1:26" ht="14.25" customHeight="1" x14ac:dyDescent="0.35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</row>
    <row r="323" spans="1:26" ht="14.25" customHeight="1" x14ac:dyDescent="0.35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</row>
    <row r="324" spans="1:26" ht="14.25" customHeight="1" x14ac:dyDescent="0.35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</row>
    <row r="325" spans="1:26" ht="14.25" customHeight="1" x14ac:dyDescent="0.35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</row>
    <row r="326" spans="1:26" ht="14.25" customHeight="1" x14ac:dyDescent="0.35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</row>
    <row r="327" spans="1:26" ht="14.25" customHeight="1" x14ac:dyDescent="0.35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</row>
    <row r="328" spans="1:26" ht="14.25" customHeight="1" x14ac:dyDescent="0.35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</row>
    <row r="329" spans="1:26" ht="14.25" customHeight="1" x14ac:dyDescent="0.35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</row>
    <row r="330" spans="1:26" ht="14.25" customHeight="1" x14ac:dyDescent="0.3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</row>
    <row r="331" spans="1:26" ht="14.25" customHeight="1" x14ac:dyDescent="0.35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</row>
    <row r="332" spans="1:26" ht="14.25" customHeight="1" x14ac:dyDescent="0.35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</row>
    <row r="333" spans="1:26" ht="14.25" customHeight="1" x14ac:dyDescent="0.35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</row>
    <row r="334" spans="1:26" ht="14.25" customHeight="1" x14ac:dyDescent="0.35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</row>
    <row r="335" spans="1:26" ht="14.25" customHeight="1" x14ac:dyDescent="0.35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</row>
    <row r="336" spans="1:26" ht="14.25" customHeight="1" x14ac:dyDescent="0.35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</row>
    <row r="337" spans="1:26" ht="14.25" customHeight="1" x14ac:dyDescent="0.35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</row>
    <row r="338" spans="1:26" ht="14.25" customHeight="1" x14ac:dyDescent="0.35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</row>
    <row r="339" spans="1:26" ht="14.25" customHeight="1" x14ac:dyDescent="0.35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</row>
    <row r="340" spans="1:26" ht="14.25" customHeight="1" x14ac:dyDescent="0.35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</row>
    <row r="341" spans="1:26" ht="14.25" customHeight="1" x14ac:dyDescent="0.35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</row>
    <row r="342" spans="1:26" ht="14.25" customHeight="1" x14ac:dyDescent="0.35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</row>
    <row r="343" spans="1:26" ht="14.25" customHeight="1" x14ac:dyDescent="0.35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</row>
    <row r="344" spans="1:26" ht="14.25" customHeight="1" x14ac:dyDescent="0.35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</row>
    <row r="345" spans="1:26" ht="14.25" customHeight="1" x14ac:dyDescent="0.35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</row>
    <row r="346" spans="1:26" ht="14.25" customHeight="1" x14ac:dyDescent="0.35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</row>
    <row r="347" spans="1:26" ht="14.25" customHeight="1" x14ac:dyDescent="0.35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</row>
    <row r="348" spans="1:26" ht="14.25" customHeight="1" x14ac:dyDescent="0.3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</row>
    <row r="349" spans="1:26" ht="14.25" customHeight="1" x14ac:dyDescent="0.3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</row>
    <row r="350" spans="1:26" ht="14.25" customHeight="1" x14ac:dyDescent="0.35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</row>
    <row r="351" spans="1:26" ht="14.25" customHeight="1" x14ac:dyDescent="0.35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</row>
    <row r="352" spans="1:26" ht="14.25" customHeight="1" x14ac:dyDescent="0.35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</row>
    <row r="353" spans="1:26" ht="14.25" customHeight="1" x14ac:dyDescent="0.35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</row>
    <row r="354" spans="1:26" ht="14.25" customHeight="1" x14ac:dyDescent="0.35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</row>
    <row r="355" spans="1:26" ht="14.25" customHeight="1" x14ac:dyDescent="0.3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</row>
    <row r="356" spans="1:26" ht="14.25" customHeight="1" x14ac:dyDescent="0.35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</row>
    <row r="357" spans="1:26" ht="14.25" customHeight="1" x14ac:dyDescent="0.3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</row>
    <row r="358" spans="1:26" ht="14.25" customHeight="1" x14ac:dyDescent="0.35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</row>
    <row r="359" spans="1:26" ht="14.25" customHeight="1" x14ac:dyDescent="0.35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</row>
    <row r="360" spans="1:26" ht="14.25" customHeight="1" x14ac:dyDescent="0.35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</row>
    <row r="361" spans="1:26" ht="14.25" customHeight="1" x14ac:dyDescent="0.35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</row>
    <row r="362" spans="1:26" ht="14.25" customHeight="1" x14ac:dyDescent="0.35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</row>
    <row r="363" spans="1:26" ht="14.25" customHeight="1" x14ac:dyDescent="0.35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</row>
    <row r="364" spans="1:26" ht="14.25" customHeight="1" x14ac:dyDescent="0.35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</row>
    <row r="365" spans="1:26" ht="14.25" customHeight="1" x14ac:dyDescent="0.35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</row>
    <row r="366" spans="1:26" ht="14.25" customHeight="1" x14ac:dyDescent="0.3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</row>
    <row r="367" spans="1:26" ht="14.25" customHeight="1" x14ac:dyDescent="0.3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</row>
    <row r="368" spans="1:26" ht="14.25" customHeight="1" x14ac:dyDescent="0.35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</row>
    <row r="369" spans="1:26" ht="14.25" customHeight="1" x14ac:dyDescent="0.35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</row>
    <row r="370" spans="1:26" ht="14.25" customHeight="1" x14ac:dyDescent="0.35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</row>
    <row r="371" spans="1:26" ht="14.25" customHeight="1" x14ac:dyDescent="0.35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</row>
    <row r="372" spans="1:26" ht="14.25" customHeight="1" x14ac:dyDescent="0.35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</row>
    <row r="373" spans="1:26" ht="14.25" customHeight="1" x14ac:dyDescent="0.35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</row>
    <row r="374" spans="1:26" ht="14.25" customHeight="1" x14ac:dyDescent="0.35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</row>
    <row r="375" spans="1:26" ht="14.25" customHeight="1" x14ac:dyDescent="0.35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</row>
    <row r="376" spans="1:26" ht="14.25" customHeight="1" x14ac:dyDescent="0.35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</row>
    <row r="377" spans="1:26" ht="14.25" customHeight="1" x14ac:dyDescent="0.35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</row>
    <row r="378" spans="1:26" ht="14.25" customHeight="1" x14ac:dyDescent="0.35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</row>
    <row r="379" spans="1:26" ht="14.25" customHeight="1" x14ac:dyDescent="0.35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</row>
    <row r="380" spans="1:26" ht="14.25" customHeight="1" x14ac:dyDescent="0.35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</row>
    <row r="381" spans="1:26" ht="14.25" customHeight="1" x14ac:dyDescent="0.35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</row>
    <row r="382" spans="1:26" ht="14.25" customHeight="1" x14ac:dyDescent="0.35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</row>
    <row r="383" spans="1:26" ht="14.25" customHeight="1" x14ac:dyDescent="0.35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</row>
    <row r="384" spans="1:26" ht="14.25" customHeight="1" x14ac:dyDescent="0.35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</row>
    <row r="385" spans="1:26" ht="14.25" customHeight="1" x14ac:dyDescent="0.35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</row>
    <row r="386" spans="1:26" ht="14.25" customHeight="1" x14ac:dyDescent="0.35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</row>
    <row r="387" spans="1:26" ht="14.25" customHeight="1" x14ac:dyDescent="0.35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</row>
    <row r="388" spans="1:26" ht="14.25" customHeight="1" x14ac:dyDescent="0.35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</row>
    <row r="389" spans="1:26" ht="14.25" customHeight="1" x14ac:dyDescent="0.35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</row>
    <row r="390" spans="1:26" ht="14.25" customHeight="1" x14ac:dyDescent="0.35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</row>
    <row r="391" spans="1:26" ht="14.25" customHeight="1" x14ac:dyDescent="0.35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</row>
    <row r="392" spans="1:26" ht="14.25" customHeight="1" x14ac:dyDescent="0.35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</row>
    <row r="393" spans="1:26" ht="14.25" customHeight="1" x14ac:dyDescent="0.35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</row>
    <row r="394" spans="1:26" ht="14.25" customHeight="1" x14ac:dyDescent="0.35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</row>
    <row r="395" spans="1:26" ht="14.25" customHeight="1" x14ac:dyDescent="0.3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</row>
    <row r="396" spans="1:26" ht="14.25" customHeight="1" x14ac:dyDescent="0.35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</row>
    <row r="397" spans="1:26" ht="14.25" customHeight="1" x14ac:dyDescent="0.35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</row>
    <row r="398" spans="1:26" ht="14.25" customHeight="1" x14ac:dyDescent="0.35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</row>
    <row r="399" spans="1:26" ht="14.25" customHeight="1" x14ac:dyDescent="0.35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</row>
    <row r="400" spans="1:26" ht="14.25" customHeight="1" x14ac:dyDescent="0.35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</row>
    <row r="401" spans="1:26" ht="14.25" customHeight="1" x14ac:dyDescent="0.35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</row>
    <row r="402" spans="1:26" ht="14.25" customHeight="1" x14ac:dyDescent="0.35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</row>
    <row r="403" spans="1:26" ht="14.25" customHeight="1" x14ac:dyDescent="0.35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</row>
    <row r="404" spans="1:26" ht="14.25" customHeight="1" x14ac:dyDescent="0.35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</row>
    <row r="405" spans="1:26" ht="14.25" customHeight="1" x14ac:dyDescent="0.35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</row>
    <row r="406" spans="1:26" ht="14.25" customHeight="1" x14ac:dyDescent="0.35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</row>
    <row r="407" spans="1:26" ht="14.25" customHeight="1" x14ac:dyDescent="0.35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</row>
    <row r="408" spans="1:26" ht="14.25" customHeight="1" x14ac:dyDescent="0.35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</row>
    <row r="409" spans="1:26" ht="14.25" customHeight="1" x14ac:dyDescent="0.35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</row>
    <row r="410" spans="1:26" ht="14.25" customHeight="1" x14ac:dyDescent="0.35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</row>
    <row r="411" spans="1:26" ht="14.25" customHeight="1" x14ac:dyDescent="0.35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</row>
    <row r="412" spans="1:26" ht="14.25" customHeight="1" x14ac:dyDescent="0.35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</row>
    <row r="413" spans="1:26" ht="14.25" customHeight="1" x14ac:dyDescent="0.35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</row>
    <row r="414" spans="1:26" ht="14.25" customHeight="1" x14ac:dyDescent="0.35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</row>
    <row r="415" spans="1:26" ht="14.25" customHeight="1" x14ac:dyDescent="0.35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</row>
    <row r="416" spans="1:26" ht="14.25" customHeight="1" x14ac:dyDescent="0.35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</row>
    <row r="417" spans="1:26" ht="14.25" customHeight="1" x14ac:dyDescent="0.35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</row>
    <row r="418" spans="1:26" ht="14.25" customHeight="1" x14ac:dyDescent="0.35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</row>
    <row r="419" spans="1:26" ht="14.25" customHeight="1" x14ac:dyDescent="0.35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</row>
    <row r="420" spans="1:26" ht="14.25" customHeight="1" x14ac:dyDescent="0.35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</row>
    <row r="421" spans="1:26" ht="14.25" customHeight="1" x14ac:dyDescent="0.35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</row>
    <row r="422" spans="1:26" ht="14.25" customHeight="1" x14ac:dyDescent="0.35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</row>
    <row r="423" spans="1:26" ht="14.25" customHeight="1" x14ac:dyDescent="0.35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</row>
    <row r="424" spans="1:26" ht="14.25" customHeight="1" x14ac:dyDescent="0.35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</row>
    <row r="425" spans="1:26" ht="14.25" customHeight="1" x14ac:dyDescent="0.35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</row>
    <row r="426" spans="1:26" ht="14.25" customHeight="1" x14ac:dyDescent="0.35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</row>
    <row r="427" spans="1:26" ht="14.25" customHeight="1" x14ac:dyDescent="0.35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</row>
    <row r="428" spans="1:26" ht="14.25" customHeight="1" x14ac:dyDescent="0.35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</row>
    <row r="429" spans="1:26" ht="14.25" customHeight="1" x14ac:dyDescent="0.35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</row>
    <row r="430" spans="1:26" ht="14.25" customHeight="1" x14ac:dyDescent="0.35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</row>
    <row r="431" spans="1:26" ht="14.25" customHeight="1" x14ac:dyDescent="0.35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</row>
    <row r="432" spans="1:26" ht="14.25" customHeight="1" x14ac:dyDescent="0.35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</row>
    <row r="433" spans="1:26" ht="14.25" customHeight="1" x14ac:dyDescent="0.35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</row>
    <row r="434" spans="1:26" ht="14.25" customHeight="1" x14ac:dyDescent="0.35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</row>
    <row r="435" spans="1:26" ht="14.25" customHeight="1" x14ac:dyDescent="0.35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</row>
    <row r="436" spans="1:26" ht="14.25" customHeight="1" x14ac:dyDescent="0.35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</row>
    <row r="437" spans="1:26" ht="14.25" customHeight="1" x14ac:dyDescent="0.35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</row>
    <row r="438" spans="1:26" ht="14.25" customHeight="1" x14ac:dyDescent="0.35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</row>
    <row r="439" spans="1:26" ht="14.25" customHeight="1" x14ac:dyDescent="0.35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</row>
    <row r="440" spans="1:26" ht="14.25" customHeight="1" x14ac:dyDescent="0.35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</row>
    <row r="441" spans="1:26" ht="14.25" customHeight="1" x14ac:dyDescent="0.35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</row>
    <row r="442" spans="1:26" ht="14.25" customHeight="1" x14ac:dyDescent="0.35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</row>
    <row r="443" spans="1:26" ht="14.25" customHeight="1" x14ac:dyDescent="0.35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</row>
    <row r="444" spans="1:26" ht="14.25" customHeight="1" x14ac:dyDescent="0.35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</row>
    <row r="445" spans="1:26" ht="14.25" customHeight="1" x14ac:dyDescent="0.35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</row>
    <row r="446" spans="1:26" ht="14.25" customHeight="1" x14ac:dyDescent="0.35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</row>
    <row r="447" spans="1:26" ht="14.25" customHeight="1" x14ac:dyDescent="0.35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</row>
    <row r="448" spans="1:26" ht="14.25" customHeight="1" x14ac:dyDescent="0.35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</row>
    <row r="449" spans="1:26" ht="14.25" customHeight="1" x14ac:dyDescent="0.35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</row>
    <row r="450" spans="1:26" ht="14.25" customHeight="1" x14ac:dyDescent="0.35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</row>
    <row r="451" spans="1:26" ht="14.25" customHeight="1" x14ac:dyDescent="0.35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</row>
    <row r="452" spans="1:26" ht="14.25" customHeight="1" x14ac:dyDescent="0.35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</row>
    <row r="453" spans="1:26" ht="14.25" customHeight="1" x14ac:dyDescent="0.35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</row>
    <row r="454" spans="1:26" ht="14.25" customHeight="1" x14ac:dyDescent="0.35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</row>
    <row r="455" spans="1:26" ht="14.25" customHeight="1" x14ac:dyDescent="0.3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</row>
    <row r="456" spans="1:26" ht="14.25" customHeight="1" x14ac:dyDescent="0.3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</row>
    <row r="457" spans="1:26" ht="14.25" customHeight="1" x14ac:dyDescent="0.3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</row>
    <row r="458" spans="1:26" ht="14.25" customHeight="1" x14ac:dyDescent="0.3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</row>
    <row r="459" spans="1:26" ht="14.25" customHeight="1" x14ac:dyDescent="0.3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</row>
    <row r="460" spans="1:26" ht="14.25" customHeight="1" x14ac:dyDescent="0.3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</row>
    <row r="461" spans="1:26" ht="14.25" customHeight="1" x14ac:dyDescent="0.3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</row>
    <row r="462" spans="1:26" ht="14.25" customHeight="1" x14ac:dyDescent="0.3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</row>
    <row r="463" spans="1:26" ht="14.25" customHeight="1" x14ac:dyDescent="0.3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</row>
    <row r="464" spans="1:26" ht="14.25" customHeight="1" x14ac:dyDescent="0.3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</row>
    <row r="465" spans="1:26" ht="14.25" customHeight="1" x14ac:dyDescent="0.3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</row>
    <row r="466" spans="1:26" ht="14.25" customHeight="1" x14ac:dyDescent="0.3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</row>
    <row r="467" spans="1:26" ht="14.25" customHeight="1" x14ac:dyDescent="0.3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</row>
    <row r="468" spans="1:26" ht="14.25" customHeight="1" x14ac:dyDescent="0.3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</row>
    <row r="469" spans="1:26" ht="14.25" customHeight="1" x14ac:dyDescent="0.3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</row>
    <row r="470" spans="1:26" ht="14.25" customHeight="1" x14ac:dyDescent="0.3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</row>
    <row r="471" spans="1:26" ht="14.25" customHeight="1" x14ac:dyDescent="0.3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</row>
    <row r="472" spans="1:26" ht="14.25" customHeight="1" x14ac:dyDescent="0.3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</row>
    <row r="473" spans="1:26" ht="14.25" customHeight="1" x14ac:dyDescent="0.3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</row>
    <row r="474" spans="1:26" ht="14.25" customHeight="1" x14ac:dyDescent="0.3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</row>
    <row r="475" spans="1:26" ht="14.25" customHeight="1" x14ac:dyDescent="0.3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</row>
    <row r="476" spans="1:26" ht="14.25" customHeight="1" x14ac:dyDescent="0.3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</row>
    <row r="477" spans="1:26" ht="14.25" customHeight="1" x14ac:dyDescent="0.3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</row>
    <row r="478" spans="1:26" ht="14.25" customHeight="1" x14ac:dyDescent="0.3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</row>
    <row r="479" spans="1:26" ht="14.25" customHeight="1" x14ac:dyDescent="0.3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</row>
    <row r="480" spans="1:26" ht="14.25" customHeight="1" x14ac:dyDescent="0.35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</row>
    <row r="481" spans="1:26" ht="14.25" customHeight="1" x14ac:dyDescent="0.35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</row>
    <row r="482" spans="1:26" ht="14.25" customHeight="1" x14ac:dyDescent="0.35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</row>
    <row r="483" spans="1:26" ht="14.25" customHeight="1" x14ac:dyDescent="0.35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</row>
    <row r="484" spans="1:26" ht="14.25" customHeight="1" x14ac:dyDescent="0.35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</row>
    <row r="485" spans="1:26" ht="14.25" customHeight="1" x14ac:dyDescent="0.3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</row>
    <row r="486" spans="1:26" ht="14.25" customHeight="1" x14ac:dyDescent="0.35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</row>
    <row r="487" spans="1:26" ht="14.25" customHeight="1" x14ac:dyDescent="0.3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</row>
    <row r="488" spans="1:26" ht="14.25" customHeight="1" x14ac:dyDescent="0.3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</row>
    <row r="489" spans="1:26" ht="14.25" customHeight="1" x14ac:dyDescent="0.3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</row>
    <row r="490" spans="1:26" ht="14.25" customHeight="1" x14ac:dyDescent="0.3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</row>
    <row r="491" spans="1:26" ht="14.25" customHeight="1" x14ac:dyDescent="0.35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</row>
    <row r="492" spans="1:26" ht="14.25" customHeight="1" x14ac:dyDescent="0.35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</row>
    <row r="493" spans="1:26" ht="14.25" customHeight="1" x14ac:dyDescent="0.35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</row>
    <row r="494" spans="1:26" ht="14.25" customHeight="1" x14ac:dyDescent="0.35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</row>
    <row r="495" spans="1:26" ht="14.25" customHeight="1" x14ac:dyDescent="0.3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</row>
    <row r="496" spans="1:26" ht="14.25" customHeight="1" x14ac:dyDescent="0.35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</row>
    <row r="497" spans="1:26" ht="14.25" customHeight="1" x14ac:dyDescent="0.35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</row>
    <row r="498" spans="1:26" ht="14.25" customHeight="1" x14ac:dyDescent="0.35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</row>
    <row r="499" spans="1:26" ht="14.25" customHeight="1" x14ac:dyDescent="0.35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</row>
    <row r="500" spans="1:26" ht="14.25" customHeight="1" x14ac:dyDescent="0.35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</row>
    <row r="501" spans="1:26" ht="14.25" customHeight="1" x14ac:dyDescent="0.35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</row>
    <row r="502" spans="1:26" ht="14.25" customHeight="1" x14ac:dyDescent="0.3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</row>
    <row r="503" spans="1:26" ht="14.25" customHeight="1" x14ac:dyDescent="0.35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</row>
    <row r="504" spans="1:26" ht="14.25" customHeight="1" x14ac:dyDescent="0.3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</row>
    <row r="505" spans="1:26" ht="14.25" customHeight="1" x14ac:dyDescent="0.3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</row>
    <row r="506" spans="1:26" ht="14.25" customHeight="1" x14ac:dyDescent="0.3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</row>
    <row r="507" spans="1:26" ht="14.25" customHeight="1" x14ac:dyDescent="0.35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</row>
    <row r="508" spans="1:26" ht="14.25" customHeight="1" x14ac:dyDescent="0.3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</row>
    <row r="509" spans="1:26" ht="14.25" customHeight="1" x14ac:dyDescent="0.35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</row>
    <row r="510" spans="1:26" ht="14.25" customHeight="1" x14ac:dyDescent="0.3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</row>
    <row r="511" spans="1:26" ht="14.25" customHeight="1" x14ac:dyDescent="0.35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</row>
    <row r="512" spans="1:26" ht="14.25" customHeight="1" x14ac:dyDescent="0.3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</row>
    <row r="513" spans="1:26" ht="14.25" customHeight="1" x14ac:dyDescent="0.35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</row>
    <row r="514" spans="1:26" ht="14.25" customHeight="1" x14ac:dyDescent="0.3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</row>
    <row r="515" spans="1:26" ht="14.25" customHeight="1" x14ac:dyDescent="0.3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</row>
    <row r="516" spans="1:26" ht="14.25" customHeight="1" x14ac:dyDescent="0.3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</row>
    <row r="517" spans="1:26" ht="14.25" customHeight="1" x14ac:dyDescent="0.35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</row>
    <row r="518" spans="1:26" ht="14.25" customHeight="1" x14ac:dyDescent="0.3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</row>
    <row r="519" spans="1:26" ht="14.25" customHeight="1" x14ac:dyDescent="0.35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</row>
    <row r="520" spans="1:26" ht="14.25" customHeight="1" x14ac:dyDescent="0.3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</row>
    <row r="521" spans="1:26" ht="14.25" customHeight="1" x14ac:dyDescent="0.35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</row>
    <row r="522" spans="1:26" ht="14.25" customHeight="1" x14ac:dyDescent="0.3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</row>
    <row r="523" spans="1:26" ht="14.25" customHeight="1" x14ac:dyDescent="0.35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</row>
    <row r="524" spans="1:26" ht="14.25" customHeight="1" x14ac:dyDescent="0.3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</row>
    <row r="525" spans="1:26" ht="14.25" customHeight="1" x14ac:dyDescent="0.3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</row>
    <row r="526" spans="1:26" ht="14.25" customHeight="1" x14ac:dyDescent="0.3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</row>
    <row r="527" spans="1:26" ht="14.25" customHeight="1" x14ac:dyDescent="0.35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</row>
    <row r="528" spans="1:26" ht="14.25" customHeight="1" x14ac:dyDescent="0.3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</row>
    <row r="529" spans="1:26" ht="14.25" customHeight="1" x14ac:dyDescent="0.35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</row>
    <row r="530" spans="1:26" ht="14.25" customHeight="1" x14ac:dyDescent="0.3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</row>
    <row r="531" spans="1:26" ht="14.25" customHeight="1" x14ac:dyDescent="0.35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</row>
    <row r="532" spans="1:26" ht="14.25" customHeight="1" x14ac:dyDescent="0.3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</row>
    <row r="533" spans="1:26" ht="14.25" customHeight="1" x14ac:dyDescent="0.35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</row>
    <row r="534" spans="1:26" ht="14.25" customHeight="1" x14ac:dyDescent="0.3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</row>
    <row r="535" spans="1:26" ht="14.25" customHeight="1" x14ac:dyDescent="0.3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</row>
    <row r="536" spans="1:26" ht="14.25" customHeight="1" x14ac:dyDescent="0.3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</row>
    <row r="537" spans="1:26" ht="14.25" customHeight="1" x14ac:dyDescent="0.35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</row>
    <row r="538" spans="1:26" ht="14.25" customHeight="1" x14ac:dyDescent="0.3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</row>
    <row r="539" spans="1:26" ht="14.25" customHeight="1" x14ac:dyDescent="0.35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</row>
    <row r="540" spans="1:26" ht="14.25" customHeight="1" x14ac:dyDescent="0.3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</row>
    <row r="541" spans="1:26" ht="14.25" customHeight="1" x14ac:dyDescent="0.35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</row>
    <row r="542" spans="1:26" ht="14.25" customHeight="1" x14ac:dyDescent="0.3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</row>
    <row r="543" spans="1:26" ht="14.25" customHeight="1" x14ac:dyDescent="0.35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</row>
    <row r="544" spans="1:26" ht="14.25" customHeight="1" x14ac:dyDescent="0.3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</row>
    <row r="545" spans="1:26" ht="14.25" customHeight="1" x14ac:dyDescent="0.3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</row>
    <row r="546" spans="1:26" ht="14.25" customHeight="1" x14ac:dyDescent="0.3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</row>
    <row r="547" spans="1:26" ht="14.25" customHeight="1" x14ac:dyDescent="0.35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</row>
    <row r="548" spans="1:26" ht="14.25" customHeight="1" x14ac:dyDescent="0.3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</row>
    <row r="549" spans="1:26" ht="14.25" customHeight="1" x14ac:dyDescent="0.35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</row>
    <row r="550" spans="1:26" ht="14.25" customHeight="1" x14ac:dyDescent="0.3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</row>
    <row r="551" spans="1:26" ht="14.25" customHeight="1" x14ac:dyDescent="0.35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</row>
    <row r="552" spans="1:26" ht="14.25" customHeight="1" x14ac:dyDescent="0.3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</row>
    <row r="553" spans="1:26" ht="14.25" customHeight="1" x14ac:dyDescent="0.35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</row>
    <row r="554" spans="1:26" ht="14.25" customHeight="1" x14ac:dyDescent="0.3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</row>
    <row r="555" spans="1:26" ht="14.25" customHeight="1" x14ac:dyDescent="0.3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</row>
    <row r="556" spans="1:26" ht="14.25" customHeight="1" x14ac:dyDescent="0.3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</row>
    <row r="557" spans="1:26" ht="14.25" customHeight="1" x14ac:dyDescent="0.35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</row>
    <row r="558" spans="1:26" ht="14.25" customHeight="1" x14ac:dyDescent="0.3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</row>
    <row r="559" spans="1:26" ht="14.25" customHeight="1" x14ac:dyDescent="0.35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</row>
    <row r="560" spans="1:26" ht="14.25" customHeight="1" x14ac:dyDescent="0.3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</row>
    <row r="561" spans="1:26" ht="14.25" customHeight="1" x14ac:dyDescent="0.35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</row>
    <row r="562" spans="1:26" ht="14.25" customHeight="1" x14ac:dyDescent="0.3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</row>
    <row r="563" spans="1:26" ht="14.25" customHeight="1" x14ac:dyDescent="0.35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</row>
    <row r="564" spans="1:26" ht="14.25" customHeight="1" x14ac:dyDescent="0.3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</row>
    <row r="565" spans="1:26" ht="14.25" customHeight="1" x14ac:dyDescent="0.3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</row>
    <row r="566" spans="1:26" ht="14.25" customHeight="1" x14ac:dyDescent="0.3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</row>
    <row r="567" spans="1:26" ht="14.25" customHeight="1" x14ac:dyDescent="0.35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</row>
    <row r="568" spans="1:26" ht="14.25" customHeight="1" x14ac:dyDescent="0.3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</row>
    <row r="569" spans="1:26" ht="14.25" customHeight="1" x14ac:dyDescent="0.35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</row>
    <row r="570" spans="1:26" ht="14.25" customHeight="1" x14ac:dyDescent="0.3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</row>
    <row r="571" spans="1:26" ht="14.25" customHeight="1" x14ac:dyDescent="0.35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</row>
    <row r="572" spans="1:26" ht="14.25" customHeight="1" x14ac:dyDescent="0.3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</row>
    <row r="573" spans="1:26" ht="14.25" customHeight="1" x14ac:dyDescent="0.35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</row>
    <row r="574" spans="1:26" ht="14.25" customHeight="1" x14ac:dyDescent="0.3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</row>
    <row r="575" spans="1:26" ht="14.25" customHeight="1" x14ac:dyDescent="0.3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</row>
    <row r="576" spans="1:26" ht="14.25" customHeight="1" x14ac:dyDescent="0.3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</row>
    <row r="577" spans="1:26" ht="14.25" customHeight="1" x14ac:dyDescent="0.35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</row>
    <row r="578" spans="1:26" ht="14.25" customHeight="1" x14ac:dyDescent="0.3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</row>
    <row r="579" spans="1:26" ht="14.25" customHeight="1" x14ac:dyDescent="0.35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</row>
    <row r="580" spans="1:26" ht="14.25" customHeight="1" x14ac:dyDescent="0.3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</row>
    <row r="581" spans="1:26" ht="14.25" customHeight="1" x14ac:dyDescent="0.35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</row>
    <row r="582" spans="1:26" ht="14.25" customHeight="1" x14ac:dyDescent="0.3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</row>
    <row r="583" spans="1:26" ht="14.25" customHeight="1" x14ac:dyDescent="0.35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</row>
    <row r="584" spans="1:26" ht="14.25" customHeight="1" x14ac:dyDescent="0.3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</row>
    <row r="585" spans="1:26" ht="14.25" customHeight="1" x14ac:dyDescent="0.3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</row>
    <row r="586" spans="1:26" ht="14.25" customHeight="1" x14ac:dyDescent="0.3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</row>
    <row r="587" spans="1:26" ht="14.25" customHeight="1" x14ac:dyDescent="0.35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</row>
    <row r="588" spans="1:26" ht="14.25" customHeight="1" x14ac:dyDescent="0.3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</row>
    <row r="589" spans="1:26" ht="14.25" customHeight="1" x14ac:dyDescent="0.35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</row>
    <row r="590" spans="1:26" ht="14.25" customHeight="1" x14ac:dyDescent="0.3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</row>
    <row r="591" spans="1:26" ht="14.25" customHeight="1" x14ac:dyDescent="0.35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</row>
    <row r="592" spans="1:26" ht="14.25" customHeight="1" x14ac:dyDescent="0.3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</row>
    <row r="593" spans="1:26" ht="14.25" customHeight="1" x14ac:dyDescent="0.35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</row>
    <row r="594" spans="1:26" ht="14.25" customHeight="1" x14ac:dyDescent="0.3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</row>
    <row r="595" spans="1:26" ht="14.25" customHeight="1" x14ac:dyDescent="0.3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</row>
    <row r="596" spans="1:26" ht="14.25" customHeight="1" x14ac:dyDescent="0.3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</row>
    <row r="597" spans="1:26" ht="14.25" customHeight="1" x14ac:dyDescent="0.35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</row>
    <row r="598" spans="1:26" ht="14.25" customHeight="1" x14ac:dyDescent="0.3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</row>
    <row r="599" spans="1:26" ht="14.25" customHeight="1" x14ac:dyDescent="0.35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</row>
    <row r="600" spans="1:26" ht="14.25" customHeight="1" x14ac:dyDescent="0.3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</row>
    <row r="601" spans="1:26" ht="14.25" customHeight="1" x14ac:dyDescent="0.35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</row>
    <row r="602" spans="1:26" ht="14.25" customHeight="1" x14ac:dyDescent="0.3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</row>
    <row r="603" spans="1:26" ht="14.25" customHeight="1" x14ac:dyDescent="0.35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</row>
    <row r="604" spans="1:26" ht="14.25" customHeight="1" x14ac:dyDescent="0.3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</row>
    <row r="605" spans="1:26" ht="14.25" customHeight="1" x14ac:dyDescent="0.3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</row>
    <row r="606" spans="1:26" ht="14.25" customHeight="1" x14ac:dyDescent="0.3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</row>
    <row r="607" spans="1:26" ht="14.25" customHeight="1" x14ac:dyDescent="0.35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</row>
    <row r="608" spans="1:26" ht="14.25" customHeight="1" x14ac:dyDescent="0.3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</row>
    <row r="609" spans="1:26" ht="14.25" customHeight="1" x14ac:dyDescent="0.35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</row>
    <row r="610" spans="1:26" ht="14.25" customHeight="1" x14ac:dyDescent="0.3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</row>
    <row r="611" spans="1:26" ht="14.25" customHeight="1" x14ac:dyDescent="0.35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</row>
    <row r="612" spans="1:26" ht="14.25" customHeight="1" x14ac:dyDescent="0.3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</row>
    <row r="613" spans="1:26" ht="14.25" customHeight="1" x14ac:dyDescent="0.35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</row>
    <row r="614" spans="1:26" ht="14.25" customHeight="1" x14ac:dyDescent="0.3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</row>
    <row r="615" spans="1:26" ht="14.25" customHeight="1" x14ac:dyDescent="0.3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</row>
    <row r="616" spans="1:26" ht="14.25" customHeight="1" x14ac:dyDescent="0.3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</row>
    <row r="617" spans="1:26" ht="14.25" customHeight="1" x14ac:dyDescent="0.35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</row>
    <row r="618" spans="1:26" ht="14.25" customHeight="1" x14ac:dyDescent="0.3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</row>
    <row r="619" spans="1:26" ht="14.25" customHeight="1" x14ac:dyDescent="0.35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</row>
    <row r="620" spans="1:26" ht="14.25" customHeight="1" x14ac:dyDescent="0.3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</row>
    <row r="621" spans="1:26" ht="14.25" customHeight="1" x14ac:dyDescent="0.35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</row>
    <row r="622" spans="1:26" ht="14.25" customHeight="1" x14ac:dyDescent="0.3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</row>
    <row r="623" spans="1:26" ht="14.25" customHeight="1" x14ac:dyDescent="0.35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</row>
    <row r="624" spans="1:26" ht="14.25" customHeight="1" x14ac:dyDescent="0.3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</row>
    <row r="625" spans="1:26" ht="14.25" customHeight="1" x14ac:dyDescent="0.3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</row>
    <row r="626" spans="1:26" ht="14.25" customHeight="1" x14ac:dyDescent="0.3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</row>
    <row r="627" spans="1:26" ht="14.25" customHeight="1" x14ac:dyDescent="0.35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</row>
    <row r="628" spans="1:26" ht="14.25" customHeight="1" x14ac:dyDescent="0.3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</row>
    <row r="629" spans="1:26" ht="14.25" customHeight="1" x14ac:dyDescent="0.35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</row>
    <row r="630" spans="1:26" ht="14.25" customHeight="1" x14ac:dyDescent="0.3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</row>
    <row r="631" spans="1:26" ht="14.25" customHeight="1" x14ac:dyDescent="0.35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</row>
    <row r="632" spans="1:26" ht="14.25" customHeight="1" x14ac:dyDescent="0.3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</row>
    <row r="633" spans="1:26" ht="14.25" customHeight="1" x14ac:dyDescent="0.35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</row>
    <row r="634" spans="1:26" ht="14.25" customHeight="1" x14ac:dyDescent="0.3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</row>
    <row r="635" spans="1:26" ht="14.25" customHeight="1" x14ac:dyDescent="0.3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</row>
    <row r="636" spans="1:26" ht="14.25" customHeight="1" x14ac:dyDescent="0.3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</row>
    <row r="637" spans="1:26" ht="14.25" customHeight="1" x14ac:dyDescent="0.35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</row>
    <row r="638" spans="1:26" ht="14.25" customHeight="1" x14ac:dyDescent="0.3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</row>
    <row r="639" spans="1:26" ht="14.25" customHeight="1" x14ac:dyDescent="0.35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</row>
    <row r="640" spans="1:26" ht="14.25" customHeight="1" x14ac:dyDescent="0.3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</row>
    <row r="641" spans="1:26" ht="14.25" customHeight="1" x14ac:dyDescent="0.35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</row>
    <row r="642" spans="1:26" ht="14.25" customHeight="1" x14ac:dyDescent="0.3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</row>
    <row r="643" spans="1:26" ht="14.25" customHeight="1" x14ac:dyDescent="0.35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</row>
    <row r="644" spans="1:26" ht="14.25" customHeight="1" x14ac:dyDescent="0.3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</row>
    <row r="645" spans="1:26" ht="14.25" customHeight="1" x14ac:dyDescent="0.3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</row>
    <row r="646" spans="1:26" ht="14.25" customHeight="1" x14ac:dyDescent="0.3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</row>
    <row r="647" spans="1:26" ht="14.25" customHeight="1" x14ac:dyDescent="0.35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</row>
    <row r="648" spans="1:26" ht="14.25" customHeight="1" x14ac:dyDescent="0.3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</row>
    <row r="649" spans="1:26" ht="14.25" customHeight="1" x14ac:dyDescent="0.35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</row>
    <row r="650" spans="1:26" ht="14.25" customHeight="1" x14ac:dyDescent="0.3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</row>
    <row r="651" spans="1:26" ht="14.25" customHeight="1" x14ac:dyDescent="0.35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</row>
    <row r="652" spans="1:26" ht="14.25" customHeight="1" x14ac:dyDescent="0.3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</row>
    <row r="653" spans="1:26" ht="14.25" customHeight="1" x14ac:dyDescent="0.35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</row>
    <row r="654" spans="1:26" ht="14.25" customHeight="1" x14ac:dyDescent="0.3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</row>
    <row r="655" spans="1:26" ht="14.25" customHeight="1" x14ac:dyDescent="0.3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</row>
    <row r="656" spans="1:26" ht="14.25" customHeight="1" x14ac:dyDescent="0.3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</row>
    <row r="657" spans="1:26" ht="14.25" customHeight="1" x14ac:dyDescent="0.35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</row>
    <row r="658" spans="1:26" ht="14.25" customHeight="1" x14ac:dyDescent="0.3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</row>
    <row r="659" spans="1:26" ht="14.25" customHeight="1" x14ac:dyDescent="0.35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</row>
    <row r="660" spans="1:26" ht="14.25" customHeight="1" x14ac:dyDescent="0.3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</row>
    <row r="661" spans="1:26" ht="14.25" customHeight="1" x14ac:dyDescent="0.35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</row>
    <row r="662" spans="1:26" ht="14.25" customHeight="1" x14ac:dyDescent="0.3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</row>
    <row r="663" spans="1:26" ht="14.25" customHeight="1" x14ac:dyDescent="0.35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</row>
    <row r="664" spans="1:26" ht="14.25" customHeight="1" x14ac:dyDescent="0.3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</row>
    <row r="665" spans="1:26" ht="14.25" customHeight="1" x14ac:dyDescent="0.3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</row>
    <row r="666" spans="1:26" ht="14.25" customHeight="1" x14ac:dyDescent="0.3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</row>
    <row r="667" spans="1:26" ht="14.25" customHeight="1" x14ac:dyDescent="0.35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</row>
    <row r="668" spans="1:26" ht="14.25" customHeight="1" x14ac:dyDescent="0.3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</row>
    <row r="669" spans="1:26" ht="14.25" customHeight="1" x14ac:dyDescent="0.35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</row>
    <row r="670" spans="1:26" ht="14.25" customHeight="1" x14ac:dyDescent="0.3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</row>
    <row r="671" spans="1:26" ht="14.25" customHeight="1" x14ac:dyDescent="0.35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</row>
    <row r="672" spans="1:26" ht="14.25" customHeight="1" x14ac:dyDescent="0.3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</row>
    <row r="673" spans="1:26" ht="14.25" customHeight="1" x14ac:dyDescent="0.35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</row>
    <row r="674" spans="1:26" ht="14.25" customHeight="1" x14ac:dyDescent="0.3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</row>
    <row r="675" spans="1:26" ht="14.25" customHeight="1" x14ac:dyDescent="0.3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</row>
    <row r="676" spans="1:26" ht="14.25" customHeight="1" x14ac:dyDescent="0.3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</row>
    <row r="677" spans="1:26" ht="14.25" customHeight="1" x14ac:dyDescent="0.35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</row>
    <row r="678" spans="1:26" ht="14.25" customHeight="1" x14ac:dyDescent="0.3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</row>
    <row r="679" spans="1:26" ht="14.25" customHeight="1" x14ac:dyDescent="0.35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</row>
    <row r="680" spans="1:26" ht="14.25" customHeight="1" x14ac:dyDescent="0.3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</row>
    <row r="681" spans="1:26" ht="14.25" customHeight="1" x14ac:dyDescent="0.35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</row>
    <row r="682" spans="1:26" ht="14.25" customHeight="1" x14ac:dyDescent="0.3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</row>
    <row r="683" spans="1:26" ht="14.25" customHeight="1" x14ac:dyDescent="0.35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</row>
    <row r="684" spans="1:26" ht="14.25" customHeight="1" x14ac:dyDescent="0.3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</row>
    <row r="685" spans="1:26" ht="14.25" customHeight="1" x14ac:dyDescent="0.3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</row>
    <row r="686" spans="1:26" ht="14.25" customHeight="1" x14ac:dyDescent="0.3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</row>
    <row r="687" spans="1:26" ht="14.25" customHeight="1" x14ac:dyDescent="0.35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</row>
    <row r="688" spans="1:26" ht="14.25" customHeight="1" x14ac:dyDescent="0.3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</row>
    <row r="689" spans="1:26" ht="14.25" customHeight="1" x14ac:dyDescent="0.35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</row>
    <row r="690" spans="1:26" ht="14.25" customHeight="1" x14ac:dyDescent="0.3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</row>
    <row r="691" spans="1:26" ht="14.25" customHeight="1" x14ac:dyDescent="0.35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</row>
    <row r="692" spans="1:26" ht="14.25" customHeight="1" x14ac:dyDescent="0.3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</row>
    <row r="693" spans="1:26" ht="14.25" customHeight="1" x14ac:dyDescent="0.35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</row>
    <row r="694" spans="1:26" ht="14.25" customHeight="1" x14ac:dyDescent="0.3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</row>
    <row r="695" spans="1:26" ht="14.25" customHeight="1" x14ac:dyDescent="0.3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</row>
    <row r="696" spans="1:26" ht="14.25" customHeight="1" x14ac:dyDescent="0.3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</row>
    <row r="697" spans="1:26" ht="14.25" customHeight="1" x14ac:dyDescent="0.35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</row>
    <row r="698" spans="1:26" ht="14.25" customHeight="1" x14ac:dyDescent="0.3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</row>
    <row r="699" spans="1:26" ht="14.25" customHeight="1" x14ac:dyDescent="0.35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</row>
    <row r="700" spans="1:26" ht="14.25" customHeight="1" x14ac:dyDescent="0.3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</row>
    <row r="701" spans="1:26" ht="14.25" customHeight="1" x14ac:dyDescent="0.35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</row>
    <row r="702" spans="1:26" ht="14.25" customHeight="1" x14ac:dyDescent="0.3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</row>
    <row r="703" spans="1:26" ht="14.25" customHeight="1" x14ac:dyDescent="0.35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</row>
    <row r="704" spans="1:26" ht="14.25" customHeight="1" x14ac:dyDescent="0.3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</row>
    <row r="705" spans="1:26" ht="14.25" customHeight="1" x14ac:dyDescent="0.3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</row>
    <row r="706" spans="1:26" ht="14.25" customHeight="1" x14ac:dyDescent="0.3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</row>
    <row r="707" spans="1:26" ht="14.25" customHeight="1" x14ac:dyDescent="0.35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</row>
    <row r="708" spans="1:26" ht="14.25" customHeight="1" x14ac:dyDescent="0.3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</row>
    <row r="709" spans="1:26" ht="14.25" customHeight="1" x14ac:dyDescent="0.35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</row>
    <row r="710" spans="1:26" ht="14.25" customHeight="1" x14ac:dyDescent="0.3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</row>
    <row r="711" spans="1:26" ht="14.25" customHeight="1" x14ac:dyDescent="0.35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</row>
    <row r="712" spans="1:26" ht="14.25" customHeight="1" x14ac:dyDescent="0.3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</row>
    <row r="713" spans="1:26" ht="14.25" customHeight="1" x14ac:dyDescent="0.35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</row>
    <row r="714" spans="1:26" ht="14.25" customHeight="1" x14ac:dyDescent="0.3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</row>
    <row r="715" spans="1:26" ht="14.25" customHeight="1" x14ac:dyDescent="0.3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</row>
    <row r="716" spans="1:26" ht="14.25" customHeight="1" x14ac:dyDescent="0.3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</row>
    <row r="717" spans="1:26" ht="14.25" customHeight="1" x14ac:dyDescent="0.35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</row>
    <row r="718" spans="1:26" ht="14.25" customHeight="1" x14ac:dyDescent="0.3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</row>
    <row r="719" spans="1:26" ht="14.25" customHeight="1" x14ac:dyDescent="0.35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</row>
    <row r="720" spans="1:26" ht="14.25" customHeight="1" x14ac:dyDescent="0.3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</row>
    <row r="721" spans="1:26" ht="14.25" customHeight="1" x14ac:dyDescent="0.35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</row>
    <row r="722" spans="1:26" ht="14.25" customHeight="1" x14ac:dyDescent="0.3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</row>
    <row r="723" spans="1:26" ht="14.25" customHeight="1" x14ac:dyDescent="0.35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</row>
    <row r="724" spans="1:26" ht="14.25" customHeight="1" x14ac:dyDescent="0.3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</row>
    <row r="725" spans="1:26" ht="14.25" customHeight="1" x14ac:dyDescent="0.3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</row>
    <row r="726" spans="1:26" ht="14.25" customHeight="1" x14ac:dyDescent="0.3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</row>
    <row r="727" spans="1:26" ht="14.25" customHeight="1" x14ac:dyDescent="0.35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</row>
    <row r="728" spans="1:26" ht="14.25" customHeight="1" x14ac:dyDescent="0.3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</row>
    <row r="729" spans="1:26" ht="14.25" customHeight="1" x14ac:dyDescent="0.35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</row>
    <row r="730" spans="1:26" ht="14.25" customHeight="1" x14ac:dyDescent="0.3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</row>
    <row r="731" spans="1:26" ht="14.25" customHeight="1" x14ac:dyDescent="0.35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</row>
    <row r="732" spans="1:26" ht="14.25" customHeight="1" x14ac:dyDescent="0.3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</row>
    <row r="733" spans="1:26" ht="14.25" customHeight="1" x14ac:dyDescent="0.35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</row>
    <row r="734" spans="1:26" ht="14.25" customHeight="1" x14ac:dyDescent="0.3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</row>
    <row r="735" spans="1:26" ht="14.25" customHeight="1" x14ac:dyDescent="0.3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</row>
    <row r="736" spans="1:26" ht="14.25" customHeight="1" x14ac:dyDescent="0.3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</row>
    <row r="737" spans="1:26" ht="14.25" customHeight="1" x14ac:dyDescent="0.35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</row>
    <row r="738" spans="1:26" ht="14.25" customHeight="1" x14ac:dyDescent="0.3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</row>
    <row r="739" spans="1:26" ht="14.25" customHeight="1" x14ac:dyDescent="0.35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</row>
    <row r="740" spans="1:26" ht="14.25" customHeight="1" x14ac:dyDescent="0.3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</row>
    <row r="741" spans="1:26" ht="14.25" customHeight="1" x14ac:dyDescent="0.35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</row>
    <row r="742" spans="1:26" ht="14.25" customHeight="1" x14ac:dyDescent="0.3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</row>
    <row r="743" spans="1:26" ht="14.25" customHeight="1" x14ac:dyDescent="0.35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</row>
    <row r="744" spans="1:26" ht="14.25" customHeight="1" x14ac:dyDescent="0.3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</row>
    <row r="745" spans="1:26" ht="14.25" customHeight="1" x14ac:dyDescent="0.3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</row>
    <row r="746" spans="1:26" ht="14.25" customHeight="1" x14ac:dyDescent="0.3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</row>
    <row r="747" spans="1:26" ht="14.25" customHeight="1" x14ac:dyDescent="0.35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</row>
    <row r="748" spans="1:26" ht="14.25" customHeight="1" x14ac:dyDescent="0.3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</row>
    <row r="749" spans="1:26" ht="14.25" customHeight="1" x14ac:dyDescent="0.35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</row>
    <row r="750" spans="1:26" ht="14.25" customHeight="1" x14ac:dyDescent="0.3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</row>
    <row r="751" spans="1:26" ht="14.25" customHeight="1" x14ac:dyDescent="0.35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</row>
    <row r="752" spans="1:26" ht="14.25" customHeight="1" x14ac:dyDescent="0.3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</row>
    <row r="753" spans="1:26" ht="14.25" customHeight="1" x14ac:dyDescent="0.35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</row>
    <row r="754" spans="1:26" ht="14.25" customHeight="1" x14ac:dyDescent="0.3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</row>
    <row r="755" spans="1:26" ht="14.25" customHeight="1" x14ac:dyDescent="0.3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</row>
    <row r="756" spans="1:26" ht="14.25" customHeight="1" x14ac:dyDescent="0.3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</row>
    <row r="757" spans="1:26" ht="14.25" customHeight="1" x14ac:dyDescent="0.35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</row>
    <row r="758" spans="1:26" ht="14.25" customHeight="1" x14ac:dyDescent="0.3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</row>
    <row r="759" spans="1:26" ht="14.25" customHeight="1" x14ac:dyDescent="0.35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</row>
    <row r="760" spans="1:26" ht="14.25" customHeight="1" x14ac:dyDescent="0.3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</row>
    <row r="761" spans="1:26" ht="14.25" customHeight="1" x14ac:dyDescent="0.35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</row>
    <row r="762" spans="1:26" ht="14.25" customHeight="1" x14ac:dyDescent="0.3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</row>
    <row r="763" spans="1:26" ht="14.25" customHeight="1" x14ac:dyDescent="0.35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</row>
    <row r="764" spans="1:26" ht="14.25" customHeight="1" x14ac:dyDescent="0.3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</row>
    <row r="765" spans="1:26" ht="14.25" customHeight="1" x14ac:dyDescent="0.3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</row>
    <row r="766" spans="1:26" ht="14.25" customHeight="1" x14ac:dyDescent="0.3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</row>
    <row r="767" spans="1:26" ht="14.25" customHeight="1" x14ac:dyDescent="0.35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</row>
    <row r="768" spans="1:26" ht="14.25" customHeight="1" x14ac:dyDescent="0.3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</row>
    <row r="769" spans="1:26" ht="14.25" customHeight="1" x14ac:dyDescent="0.35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</row>
    <row r="770" spans="1:26" ht="14.25" customHeight="1" x14ac:dyDescent="0.3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</row>
    <row r="771" spans="1:26" ht="14.25" customHeight="1" x14ac:dyDescent="0.35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</row>
    <row r="772" spans="1:26" ht="14.25" customHeight="1" x14ac:dyDescent="0.3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</row>
    <row r="773" spans="1:26" ht="14.25" customHeight="1" x14ac:dyDescent="0.35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</row>
    <row r="774" spans="1:26" ht="14.25" customHeight="1" x14ac:dyDescent="0.3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</row>
    <row r="775" spans="1:26" ht="14.25" customHeight="1" x14ac:dyDescent="0.3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</row>
    <row r="776" spans="1:26" ht="14.25" customHeight="1" x14ac:dyDescent="0.3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</row>
    <row r="777" spans="1:26" ht="14.25" customHeight="1" x14ac:dyDescent="0.35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</row>
    <row r="778" spans="1:26" ht="14.25" customHeight="1" x14ac:dyDescent="0.3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</row>
    <row r="779" spans="1:26" ht="14.25" customHeight="1" x14ac:dyDescent="0.35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</row>
    <row r="780" spans="1:26" ht="14.25" customHeight="1" x14ac:dyDescent="0.3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</row>
    <row r="781" spans="1:26" ht="14.25" customHeight="1" x14ac:dyDescent="0.35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</row>
    <row r="782" spans="1:26" ht="14.25" customHeight="1" x14ac:dyDescent="0.3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</row>
    <row r="783" spans="1:26" ht="14.25" customHeight="1" x14ac:dyDescent="0.35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</row>
    <row r="784" spans="1:26" ht="14.25" customHeight="1" x14ac:dyDescent="0.3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</row>
    <row r="785" spans="1:26" ht="14.25" customHeight="1" x14ac:dyDescent="0.3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</row>
    <row r="786" spans="1:26" ht="14.25" customHeight="1" x14ac:dyDescent="0.3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</row>
    <row r="787" spans="1:26" ht="14.25" customHeight="1" x14ac:dyDescent="0.35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</row>
    <row r="788" spans="1:26" ht="14.25" customHeight="1" x14ac:dyDescent="0.3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</row>
    <row r="789" spans="1:26" ht="14.25" customHeight="1" x14ac:dyDescent="0.35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</row>
    <row r="790" spans="1:26" ht="14.25" customHeight="1" x14ac:dyDescent="0.3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</row>
    <row r="791" spans="1:26" ht="14.25" customHeight="1" x14ac:dyDescent="0.35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</row>
    <row r="792" spans="1:26" ht="14.25" customHeight="1" x14ac:dyDescent="0.3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</row>
    <row r="793" spans="1:26" ht="14.25" customHeight="1" x14ac:dyDescent="0.35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</row>
    <row r="794" spans="1:26" ht="14.25" customHeight="1" x14ac:dyDescent="0.3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</row>
    <row r="795" spans="1:26" ht="14.25" customHeight="1" x14ac:dyDescent="0.3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</row>
    <row r="796" spans="1:26" ht="14.25" customHeight="1" x14ac:dyDescent="0.3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</row>
    <row r="797" spans="1:26" ht="14.25" customHeight="1" x14ac:dyDescent="0.35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</row>
    <row r="798" spans="1:26" ht="14.25" customHeight="1" x14ac:dyDescent="0.3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</row>
    <row r="799" spans="1:26" ht="14.25" customHeight="1" x14ac:dyDescent="0.35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</row>
    <row r="800" spans="1:26" ht="14.25" customHeight="1" x14ac:dyDescent="0.3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</row>
    <row r="801" spans="1:26" ht="14.25" customHeight="1" x14ac:dyDescent="0.35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</row>
    <row r="802" spans="1:26" ht="14.25" customHeight="1" x14ac:dyDescent="0.3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</row>
    <row r="803" spans="1:26" ht="14.25" customHeight="1" x14ac:dyDescent="0.35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</row>
    <row r="804" spans="1:26" ht="14.25" customHeight="1" x14ac:dyDescent="0.3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</row>
    <row r="805" spans="1:26" ht="14.25" customHeight="1" x14ac:dyDescent="0.3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</row>
    <row r="806" spans="1:26" ht="14.25" customHeight="1" x14ac:dyDescent="0.3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</row>
    <row r="807" spans="1:26" ht="14.25" customHeight="1" x14ac:dyDescent="0.35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</row>
    <row r="808" spans="1:26" ht="14.25" customHeight="1" x14ac:dyDescent="0.3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</row>
    <row r="809" spans="1:26" ht="14.25" customHeight="1" x14ac:dyDescent="0.35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</row>
    <row r="810" spans="1:26" ht="14.25" customHeight="1" x14ac:dyDescent="0.3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</row>
    <row r="811" spans="1:26" ht="14.25" customHeight="1" x14ac:dyDescent="0.35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</row>
    <row r="812" spans="1:26" ht="14.25" customHeight="1" x14ac:dyDescent="0.3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</row>
    <row r="813" spans="1:26" ht="14.25" customHeight="1" x14ac:dyDescent="0.35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</row>
    <row r="814" spans="1:26" ht="14.25" customHeight="1" x14ac:dyDescent="0.3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</row>
    <row r="815" spans="1:26" ht="14.25" customHeight="1" x14ac:dyDescent="0.3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</row>
    <row r="816" spans="1:26" ht="14.25" customHeight="1" x14ac:dyDescent="0.3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</row>
    <row r="817" spans="1:26" ht="14.25" customHeight="1" x14ac:dyDescent="0.35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</row>
    <row r="818" spans="1:26" ht="14.25" customHeight="1" x14ac:dyDescent="0.3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</row>
    <row r="819" spans="1:26" ht="14.25" customHeight="1" x14ac:dyDescent="0.35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</row>
    <row r="820" spans="1:26" ht="14.25" customHeight="1" x14ac:dyDescent="0.3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</row>
    <row r="821" spans="1:26" ht="14.25" customHeight="1" x14ac:dyDescent="0.35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</row>
    <row r="822" spans="1:26" ht="14.25" customHeight="1" x14ac:dyDescent="0.3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</row>
    <row r="823" spans="1:26" ht="14.25" customHeight="1" x14ac:dyDescent="0.35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</row>
    <row r="824" spans="1:26" ht="14.25" customHeight="1" x14ac:dyDescent="0.3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</row>
    <row r="825" spans="1:26" ht="14.25" customHeight="1" x14ac:dyDescent="0.3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</row>
    <row r="826" spans="1:26" ht="14.25" customHeight="1" x14ac:dyDescent="0.3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</row>
    <row r="827" spans="1:26" ht="14.25" customHeight="1" x14ac:dyDescent="0.35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</row>
    <row r="828" spans="1:26" ht="14.25" customHeight="1" x14ac:dyDescent="0.3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</row>
    <row r="829" spans="1:26" ht="14.25" customHeight="1" x14ac:dyDescent="0.35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</row>
    <row r="830" spans="1:26" ht="14.25" customHeight="1" x14ac:dyDescent="0.3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</row>
    <row r="831" spans="1:26" ht="14.25" customHeight="1" x14ac:dyDescent="0.35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</row>
    <row r="832" spans="1:26" ht="14.25" customHeight="1" x14ac:dyDescent="0.3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</row>
    <row r="833" spans="1:26" ht="14.25" customHeight="1" x14ac:dyDescent="0.35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</row>
    <row r="834" spans="1:26" ht="14.25" customHeight="1" x14ac:dyDescent="0.3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</row>
    <row r="835" spans="1:26" ht="14.25" customHeight="1" x14ac:dyDescent="0.3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</row>
    <row r="836" spans="1:26" ht="14.25" customHeight="1" x14ac:dyDescent="0.3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</row>
    <row r="837" spans="1:26" ht="14.25" customHeight="1" x14ac:dyDescent="0.35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</row>
    <row r="838" spans="1:26" ht="14.25" customHeight="1" x14ac:dyDescent="0.3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</row>
    <row r="839" spans="1:26" ht="14.25" customHeight="1" x14ac:dyDescent="0.35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</row>
    <row r="840" spans="1:26" ht="14.25" customHeight="1" x14ac:dyDescent="0.3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</row>
    <row r="841" spans="1:26" ht="14.25" customHeight="1" x14ac:dyDescent="0.35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</row>
    <row r="842" spans="1:26" ht="14.25" customHeight="1" x14ac:dyDescent="0.3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</row>
    <row r="843" spans="1:26" ht="14.25" customHeight="1" x14ac:dyDescent="0.35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</row>
    <row r="844" spans="1:26" ht="14.25" customHeight="1" x14ac:dyDescent="0.3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</row>
    <row r="845" spans="1:26" ht="14.25" customHeight="1" x14ac:dyDescent="0.3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</row>
    <row r="846" spans="1:26" ht="14.25" customHeight="1" x14ac:dyDescent="0.3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</row>
    <row r="847" spans="1:26" ht="14.25" customHeight="1" x14ac:dyDescent="0.35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</row>
    <row r="848" spans="1:26" ht="14.25" customHeight="1" x14ac:dyDescent="0.3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</row>
    <row r="849" spans="1:26" ht="14.25" customHeight="1" x14ac:dyDescent="0.35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</row>
    <row r="850" spans="1:26" ht="14.25" customHeight="1" x14ac:dyDescent="0.3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</row>
    <row r="851" spans="1:26" ht="14.25" customHeight="1" x14ac:dyDescent="0.35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</row>
    <row r="852" spans="1:26" ht="14.25" customHeight="1" x14ac:dyDescent="0.3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</row>
    <row r="853" spans="1:26" ht="14.25" customHeight="1" x14ac:dyDescent="0.35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</row>
    <row r="854" spans="1:26" ht="14.25" customHeight="1" x14ac:dyDescent="0.3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</row>
    <row r="855" spans="1:26" ht="14.25" customHeight="1" x14ac:dyDescent="0.3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</row>
    <row r="856" spans="1:26" ht="14.25" customHeight="1" x14ac:dyDescent="0.3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</row>
    <row r="857" spans="1:26" ht="14.25" customHeight="1" x14ac:dyDescent="0.35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</row>
    <row r="858" spans="1:26" ht="14.25" customHeight="1" x14ac:dyDescent="0.3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</row>
    <row r="859" spans="1:26" ht="14.25" customHeight="1" x14ac:dyDescent="0.35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</row>
    <row r="860" spans="1:26" ht="14.25" customHeight="1" x14ac:dyDescent="0.3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</row>
    <row r="861" spans="1:26" ht="14.25" customHeight="1" x14ac:dyDescent="0.35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</row>
    <row r="862" spans="1:26" ht="14.25" customHeight="1" x14ac:dyDescent="0.3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</row>
    <row r="863" spans="1:26" ht="14.25" customHeight="1" x14ac:dyDescent="0.35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</row>
    <row r="864" spans="1:26" ht="14.25" customHeight="1" x14ac:dyDescent="0.3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</row>
    <row r="865" spans="1:26" ht="14.25" customHeight="1" x14ac:dyDescent="0.3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</row>
    <row r="866" spans="1:26" ht="14.25" customHeight="1" x14ac:dyDescent="0.3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</row>
    <row r="867" spans="1:26" ht="14.25" customHeight="1" x14ac:dyDescent="0.35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</row>
    <row r="868" spans="1:26" ht="14.25" customHeight="1" x14ac:dyDescent="0.3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</row>
    <row r="869" spans="1:26" ht="14.25" customHeight="1" x14ac:dyDescent="0.35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</row>
    <row r="870" spans="1:26" ht="14.25" customHeight="1" x14ac:dyDescent="0.3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</row>
    <row r="871" spans="1:26" ht="14.25" customHeight="1" x14ac:dyDescent="0.35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</row>
    <row r="872" spans="1:26" ht="14.25" customHeight="1" x14ac:dyDescent="0.3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</row>
    <row r="873" spans="1:26" ht="14.25" customHeight="1" x14ac:dyDescent="0.35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</row>
    <row r="874" spans="1:26" ht="14.25" customHeight="1" x14ac:dyDescent="0.3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</row>
    <row r="875" spans="1:26" ht="14.25" customHeight="1" x14ac:dyDescent="0.3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</row>
    <row r="876" spans="1:26" ht="14.25" customHeight="1" x14ac:dyDescent="0.3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</row>
    <row r="877" spans="1:26" ht="14.25" customHeight="1" x14ac:dyDescent="0.35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</row>
    <row r="878" spans="1:26" ht="14.25" customHeight="1" x14ac:dyDescent="0.3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</row>
    <row r="879" spans="1:26" ht="14.25" customHeight="1" x14ac:dyDescent="0.35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</row>
    <row r="880" spans="1:26" ht="14.25" customHeight="1" x14ac:dyDescent="0.3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</row>
    <row r="881" spans="1:26" ht="14.25" customHeight="1" x14ac:dyDescent="0.35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</row>
    <row r="882" spans="1:26" ht="14.25" customHeight="1" x14ac:dyDescent="0.3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</row>
    <row r="883" spans="1:26" ht="14.25" customHeight="1" x14ac:dyDescent="0.35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</row>
    <row r="884" spans="1:26" ht="14.25" customHeight="1" x14ac:dyDescent="0.3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</row>
    <row r="885" spans="1:26" ht="14.25" customHeight="1" x14ac:dyDescent="0.3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</row>
    <row r="886" spans="1:26" ht="14.25" customHeight="1" x14ac:dyDescent="0.3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</row>
    <row r="887" spans="1:26" ht="14.25" customHeight="1" x14ac:dyDescent="0.35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</row>
    <row r="888" spans="1:26" ht="14.25" customHeight="1" x14ac:dyDescent="0.3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</row>
    <row r="889" spans="1:26" ht="14.25" customHeight="1" x14ac:dyDescent="0.35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</row>
    <row r="890" spans="1:26" ht="14.25" customHeight="1" x14ac:dyDescent="0.3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</row>
    <row r="891" spans="1:26" ht="14.25" customHeight="1" x14ac:dyDescent="0.35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</row>
    <row r="892" spans="1:26" ht="14.25" customHeight="1" x14ac:dyDescent="0.3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</row>
    <row r="893" spans="1:26" ht="14.25" customHeight="1" x14ac:dyDescent="0.35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</row>
    <row r="894" spans="1:26" ht="14.25" customHeight="1" x14ac:dyDescent="0.3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</row>
    <row r="895" spans="1:26" ht="14.25" customHeight="1" x14ac:dyDescent="0.3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</row>
    <row r="896" spans="1:26" ht="14.25" customHeight="1" x14ac:dyDescent="0.3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</row>
    <row r="897" spans="1:26" ht="14.25" customHeight="1" x14ac:dyDescent="0.35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</row>
    <row r="898" spans="1:26" ht="14.25" customHeight="1" x14ac:dyDescent="0.3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</row>
    <row r="899" spans="1:26" ht="14.25" customHeight="1" x14ac:dyDescent="0.35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</row>
    <row r="900" spans="1:26" ht="14.25" customHeight="1" x14ac:dyDescent="0.3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</row>
    <row r="901" spans="1:26" ht="14.25" customHeight="1" x14ac:dyDescent="0.35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</row>
    <row r="902" spans="1:26" ht="14.25" customHeight="1" x14ac:dyDescent="0.3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</row>
    <row r="903" spans="1:26" ht="14.25" customHeight="1" x14ac:dyDescent="0.35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</row>
    <row r="904" spans="1:26" ht="14.25" customHeight="1" x14ac:dyDescent="0.3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</row>
    <row r="905" spans="1:26" ht="14.25" customHeight="1" x14ac:dyDescent="0.3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</row>
    <row r="906" spans="1:26" ht="14.25" customHeight="1" x14ac:dyDescent="0.3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</row>
    <row r="907" spans="1:26" ht="14.25" customHeight="1" x14ac:dyDescent="0.35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</row>
    <row r="908" spans="1:26" ht="14.25" customHeight="1" x14ac:dyDescent="0.3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</row>
    <row r="909" spans="1:26" ht="14.25" customHeight="1" x14ac:dyDescent="0.35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</row>
    <row r="910" spans="1:26" ht="14.25" customHeight="1" x14ac:dyDescent="0.3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</row>
    <row r="911" spans="1:26" ht="14.25" customHeight="1" x14ac:dyDescent="0.35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</row>
    <row r="912" spans="1:26" ht="14.25" customHeight="1" x14ac:dyDescent="0.3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</row>
    <row r="913" spans="1:26" ht="14.25" customHeight="1" x14ac:dyDescent="0.35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</row>
    <row r="914" spans="1:26" ht="14.25" customHeight="1" x14ac:dyDescent="0.3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</row>
    <row r="915" spans="1:26" ht="14.25" customHeight="1" x14ac:dyDescent="0.3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</row>
    <row r="916" spans="1:26" ht="14.25" customHeight="1" x14ac:dyDescent="0.3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</row>
    <row r="917" spans="1:26" ht="14.25" customHeight="1" x14ac:dyDescent="0.35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</row>
    <row r="918" spans="1:26" ht="14.25" customHeight="1" x14ac:dyDescent="0.3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</row>
    <row r="919" spans="1:26" ht="14.25" customHeight="1" x14ac:dyDescent="0.35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</row>
    <row r="920" spans="1:26" ht="14.25" customHeight="1" x14ac:dyDescent="0.3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</row>
    <row r="921" spans="1:26" ht="14.25" customHeight="1" x14ac:dyDescent="0.35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</row>
    <row r="922" spans="1:26" ht="14.25" customHeight="1" x14ac:dyDescent="0.3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</row>
    <row r="923" spans="1:26" ht="14.25" customHeight="1" x14ac:dyDescent="0.35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</row>
    <row r="924" spans="1:26" ht="14.25" customHeight="1" x14ac:dyDescent="0.3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</row>
    <row r="925" spans="1:26" ht="14.25" customHeight="1" x14ac:dyDescent="0.3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</row>
    <row r="926" spans="1:26" ht="14.25" customHeight="1" x14ac:dyDescent="0.3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</row>
    <row r="927" spans="1:26" ht="14.25" customHeight="1" x14ac:dyDescent="0.35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</row>
    <row r="928" spans="1:26" ht="14.25" customHeight="1" x14ac:dyDescent="0.3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</row>
    <row r="929" spans="1:26" ht="14.25" customHeight="1" x14ac:dyDescent="0.35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</row>
    <row r="930" spans="1:26" ht="14.25" customHeight="1" x14ac:dyDescent="0.3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</row>
    <row r="931" spans="1:26" ht="14.25" customHeight="1" x14ac:dyDescent="0.35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</row>
    <row r="932" spans="1:26" ht="14.25" customHeight="1" x14ac:dyDescent="0.3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</row>
    <row r="933" spans="1:26" ht="14.25" customHeight="1" x14ac:dyDescent="0.35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</row>
    <row r="934" spans="1:26" ht="14.25" customHeight="1" x14ac:dyDescent="0.3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</row>
    <row r="935" spans="1:26" ht="14.25" customHeight="1" x14ac:dyDescent="0.3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</row>
    <row r="936" spans="1:26" ht="14.25" customHeight="1" x14ac:dyDescent="0.3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</row>
    <row r="937" spans="1:26" ht="14.25" customHeight="1" x14ac:dyDescent="0.35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</row>
    <row r="938" spans="1:26" ht="14.25" customHeight="1" x14ac:dyDescent="0.3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</row>
    <row r="939" spans="1:26" ht="14.25" customHeight="1" x14ac:dyDescent="0.35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</row>
    <row r="940" spans="1:26" ht="14.25" customHeight="1" x14ac:dyDescent="0.3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</row>
    <row r="941" spans="1:26" ht="14.25" customHeight="1" x14ac:dyDescent="0.35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</row>
    <row r="942" spans="1:26" ht="14.25" customHeight="1" x14ac:dyDescent="0.3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</row>
    <row r="943" spans="1:26" ht="14.25" customHeight="1" x14ac:dyDescent="0.35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</row>
    <row r="944" spans="1:26" ht="14.25" customHeight="1" x14ac:dyDescent="0.3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</row>
    <row r="945" spans="1:26" ht="14.25" customHeight="1" x14ac:dyDescent="0.3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</row>
    <row r="946" spans="1:26" ht="14.25" customHeight="1" x14ac:dyDescent="0.3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</row>
    <row r="947" spans="1:26" ht="14.25" customHeight="1" x14ac:dyDescent="0.35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</row>
    <row r="948" spans="1:26" ht="14.25" customHeight="1" x14ac:dyDescent="0.3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</row>
    <row r="949" spans="1:26" ht="14.25" customHeight="1" x14ac:dyDescent="0.35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</row>
    <row r="950" spans="1:26" ht="14.25" customHeight="1" x14ac:dyDescent="0.3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</row>
    <row r="951" spans="1:26" ht="14.25" customHeight="1" x14ac:dyDescent="0.35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</row>
    <row r="952" spans="1:26" ht="14.25" customHeight="1" x14ac:dyDescent="0.3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</row>
    <row r="953" spans="1:26" ht="14.25" customHeight="1" x14ac:dyDescent="0.35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</row>
    <row r="954" spans="1:26" ht="14.25" customHeight="1" x14ac:dyDescent="0.3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</row>
    <row r="955" spans="1:26" ht="14.25" customHeight="1" x14ac:dyDescent="0.3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</row>
    <row r="956" spans="1:26" ht="14.25" customHeight="1" x14ac:dyDescent="0.3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</row>
    <row r="957" spans="1:26" ht="14.25" customHeight="1" x14ac:dyDescent="0.35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</row>
    <row r="958" spans="1:26" ht="14.25" customHeight="1" x14ac:dyDescent="0.3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</row>
    <row r="959" spans="1:26" ht="14.25" customHeight="1" x14ac:dyDescent="0.35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</row>
    <row r="960" spans="1:26" ht="14.25" customHeight="1" x14ac:dyDescent="0.3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</row>
    <row r="961" spans="1:26" ht="14.25" customHeight="1" x14ac:dyDescent="0.35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</row>
    <row r="962" spans="1:26" ht="14.25" customHeight="1" x14ac:dyDescent="0.3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</row>
    <row r="963" spans="1:26" ht="14.25" customHeight="1" x14ac:dyDescent="0.35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</row>
    <row r="964" spans="1:26" ht="14.25" customHeight="1" x14ac:dyDescent="0.3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</row>
    <row r="965" spans="1:26" ht="14.25" customHeight="1" x14ac:dyDescent="0.3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</row>
    <row r="966" spans="1:26" ht="14.25" customHeight="1" x14ac:dyDescent="0.3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</row>
    <row r="967" spans="1:26" ht="14.25" customHeight="1" x14ac:dyDescent="0.35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</row>
    <row r="968" spans="1:26" ht="14.25" customHeight="1" x14ac:dyDescent="0.3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</row>
    <row r="969" spans="1:26" ht="14.25" customHeight="1" x14ac:dyDescent="0.35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</row>
    <row r="970" spans="1:26" ht="14.25" customHeight="1" x14ac:dyDescent="0.3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</row>
    <row r="971" spans="1:26" ht="14.25" customHeight="1" x14ac:dyDescent="0.35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</row>
    <row r="972" spans="1:26" ht="14.25" customHeight="1" x14ac:dyDescent="0.3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</row>
    <row r="973" spans="1:26" ht="14.25" customHeight="1" x14ac:dyDescent="0.35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</row>
    <row r="974" spans="1:26" ht="14.25" customHeight="1" x14ac:dyDescent="0.3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</row>
    <row r="975" spans="1:26" ht="14.25" customHeight="1" x14ac:dyDescent="0.35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</row>
    <row r="976" spans="1:26" ht="14.25" customHeight="1" x14ac:dyDescent="0.3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</row>
    <row r="977" spans="1:26" ht="14.25" customHeight="1" x14ac:dyDescent="0.35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</row>
    <row r="978" spans="1:26" ht="14.25" customHeight="1" x14ac:dyDescent="0.3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</row>
    <row r="979" spans="1:26" ht="14.25" customHeight="1" x14ac:dyDescent="0.35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</row>
    <row r="980" spans="1:26" ht="14.25" customHeight="1" x14ac:dyDescent="0.3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</row>
    <row r="981" spans="1:26" ht="14.25" customHeight="1" x14ac:dyDescent="0.35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</row>
    <row r="982" spans="1:26" ht="14.25" customHeight="1" x14ac:dyDescent="0.3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</row>
    <row r="983" spans="1:26" ht="14.25" customHeight="1" x14ac:dyDescent="0.35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</row>
    <row r="984" spans="1:26" ht="14.25" customHeight="1" x14ac:dyDescent="0.3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</row>
    <row r="985" spans="1:26" ht="14.25" customHeight="1" x14ac:dyDescent="0.35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</row>
    <row r="986" spans="1:26" ht="14.25" customHeight="1" x14ac:dyDescent="0.3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</row>
    <row r="987" spans="1:26" ht="14.25" customHeight="1" x14ac:dyDescent="0.35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</row>
    <row r="988" spans="1:26" ht="14.25" customHeight="1" x14ac:dyDescent="0.3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</row>
    <row r="989" spans="1:26" ht="14.25" customHeight="1" x14ac:dyDescent="0.35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</row>
    <row r="990" spans="1:26" ht="14.25" customHeight="1" x14ac:dyDescent="0.3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</row>
    <row r="991" spans="1:26" ht="14.25" customHeight="1" x14ac:dyDescent="0.35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</row>
    <row r="992" spans="1:26" ht="14.25" customHeight="1" x14ac:dyDescent="0.3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</row>
    <row r="993" spans="1:26" ht="14.25" customHeight="1" x14ac:dyDescent="0.35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</row>
    <row r="994" spans="1:26" ht="14.25" customHeight="1" x14ac:dyDescent="0.3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</row>
    <row r="995" spans="1:26" ht="14.25" customHeight="1" x14ac:dyDescent="0.35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</row>
    <row r="996" spans="1:26" ht="14.25" customHeight="1" x14ac:dyDescent="0.3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</row>
    <row r="997" spans="1:26" ht="14.25" customHeight="1" x14ac:dyDescent="0.35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</row>
    <row r="998" spans="1:26" ht="14.25" customHeight="1" x14ac:dyDescent="0.3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</row>
    <row r="999" spans="1:26" ht="14.25" customHeight="1" x14ac:dyDescent="0.35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</row>
    <row r="1000" spans="1:26" ht="14.25" customHeight="1" x14ac:dyDescent="0.3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</row>
    <row r="1001" spans="1:26" ht="14.25" customHeight="1" x14ac:dyDescent="0.35">
      <c r="A1001" s="126"/>
      <c r="B1001" s="126"/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</row>
    <row r="1002" spans="1:26" ht="14.25" customHeight="1" x14ac:dyDescent="0.3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  <c r="Z1002" s="126"/>
    </row>
    <row r="1003" spans="1:26" ht="14.25" customHeight="1" x14ac:dyDescent="0.35">
      <c r="A1003" s="126"/>
      <c r="B1003" s="126"/>
      <c r="C1003" s="126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  <c r="Z1003" s="126"/>
    </row>
    <row r="1004" spans="1:26" ht="14.25" customHeight="1" x14ac:dyDescent="0.3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  <c r="Z1004" s="126"/>
    </row>
    <row r="1005" spans="1:26" ht="14.25" customHeight="1" x14ac:dyDescent="0.35">
      <c r="A1005" s="126"/>
      <c r="B1005" s="126"/>
      <c r="C1005" s="126"/>
      <c r="D1005" s="126"/>
      <c r="E1005" s="126"/>
      <c r="F1005" s="126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  <c r="U1005" s="126"/>
      <c r="V1005" s="126"/>
      <c r="W1005" s="126"/>
      <c r="X1005" s="126"/>
      <c r="Y1005" s="126"/>
      <c r="Z1005" s="126"/>
    </row>
    <row r="1006" spans="1:26" ht="14.25" customHeight="1" x14ac:dyDescent="0.3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  <c r="U1006" s="126"/>
      <c r="V1006" s="126"/>
      <c r="W1006" s="126"/>
      <c r="X1006" s="126"/>
      <c r="Y1006" s="126"/>
      <c r="Z1006" s="126"/>
    </row>
    <row r="1007" spans="1:26" ht="14.25" customHeight="1" x14ac:dyDescent="0.35">
      <c r="A1007" s="126"/>
      <c r="B1007" s="126"/>
      <c r="C1007" s="126"/>
      <c r="D1007" s="126"/>
      <c r="E1007" s="126"/>
      <c r="F1007" s="126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  <c r="U1007" s="126"/>
      <c r="V1007" s="126"/>
      <c r="W1007" s="126"/>
      <c r="X1007" s="126"/>
      <c r="Y1007" s="126"/>
      <c r="Z1007" s="126"/>
    </row>
    <row r="1008" spans="1:26" ht="14.25" customHeight="1" x14ac:dyDescent="0.3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  <c r="U1008" s="126"/>
      <c r="V1008" s="126"/>
      <c r="W1008" s="126"/>
      <c r="X1008" s="126"/>
      <c r="Y1008" s="126"/>
      <c r="Z1008" s="126"/>
    </row>
    <row r="1009" spans="1:26" ht="14.25" customHeight="1" x14ac:dyDescent="0.35">
      <c r="A1009" s="126"/>
      <c r="B1009" s="126"/>
      <c r="C1009" s="126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  <c r="X1009" s="126"/>
      <c r="Y1009" s="126"/>
      <c r="Z1009" s="126"/>
    </row>
    <row r="1010" spans="1:26" ht="14.25" customHeight="1" x14ac:dyDescent="0.3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  <c r="U1010" s="126"/>
      <c r="V1010" s="126"/>
      <c r="W1010" s="126"/>
      <c r="X1010" s="126"/>
      <c r="Y1010" s="126"/>
      <c r="Z1010" s="126"/>
    </row>
    <row r="1011" spans="1:26" ht="14.25" customHeight="1" x14ac:dyDescent="0.35">
      <c r="A1011" s="126"/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  <c r="U1011" s="126"/>
      <c r="V1011" s="126"/>
      <c r="W1011" s="126"/>
      <c r="X1011" s="126"/>
      <c r="Y1011" s="126"/>
      <c r="Z1011" s="126"/>
    </row>
  </sheetData>
  <sheetProtection algorithmName="SHA-512" hashValue="qtsx7tmkxtR8tqVYwf47ZU4/jR79hxyT+WgRlEl7dHb9mdVVYtGe5gqY8DG69FNC6WEa0GkpxYn6eN8G8SLDlg==" saltValue="nrMYJNZhfRjyXcU383AfYQ==" spinCount="100000" sheet="1" objects="1" scenarios="1"/>
  <mergeCells count="4">
    <mergeCell ref="B1:C1"/>
    <mergeCell ref="F1:G1"/>
    <mergeCell ref="B81:F81"/>
    <mergeCell ref="H81:L81"/>
  </mergeCells>
  <pageMargins left="0.25" right="0.25" top="0.75" bottom="0.75" header="0" footer="0"/>
  <pageSetup paperSize="9" fitToHeight="0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Z1000"/>
  <sheetViews>
    <sheetView workbookViewId="0"/>
  </sheetViews>
  <sheetFormatPr baseColWidth="10" defaultColWidth="14.3984375" defaultRowHeight="15" customHeight="1" x14ac:dyDescent="0.3"/>
  <cols>
    <col min="1" max="1" width="5.09765625" customWidth="1"/>
    <col min="2" max="2" width="29" customWidth="1"/>
    <col min="3" max="3" width="7.296875" customWidth="1"/>
    <col min="4" max="4" width="7.8984375" customWidth="1"/>
    <col min="5" max="5" width="10.69921875" customWidth="1"/>
    <col min="6" max="6" width="8.8984375" customWidth="1"/>
    <col min="7" max="7" width="15.69921875" customWidth="1"/>
    <col min="8" max="8" width="9.3984375" customWidth="1"/>
    <col min="9" max="9" width="8.09765625" customWidth="1"/>
    <col min="10" max="10" width="8.59765625" customWidth="1"/>
    <col min="11" max="11" width="6.296875" customWidth="1"/>
    <col min="12" max="12" width="8.296875" customWidth="1"/>
    <col min="13" max="22" width="12.59765625" customWidth="1"/>
    <col min="23" max="25" width="10" customWidth="1"/>
    <col min="26" max="26" width="17.296875" customWidth="1"/>
  </cols>
  <sheetData>
    <row r="1" spans="1:26" ht="12" customHeight="1" x14ac:dyDescent="0.35">
      <c r="A1" s="118" t="s">
        <v>51</v>
      </c>
      <c r="B1" s="605" t="s">
        <v>463</v>
      </c>
      <c r="C1" s="433" t="s">
        <v>464</v>
      </c>
      <c r="D1" s="433" t="s">
        <v>465</v>
      </c>
      <c r="E1" s="605" t="s">
        <v>466</v>
      </c>
      <c r="F1" s="433" t="s">
        <v>108</v>
      </c>
      <c r="G1" s="606" t="s">
        <v>467</v>
      </c>
      <c r="H1" s="605" t="s">
        <v>468</v>
      </c>
      <c r="I1" s="605" t="s">
        <v>469</v>
      </c>
      <c r="J1" s="606" t="s">
        <v>470</v>
      </c>
      <c r="K1" s="605" t="s">
        <v>471</v>
      </c>
      <c r="L1" s="606" t="s">
        <v>151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18"/>
    </row>
    <row r="2" spans="1:26" ht="12" customHeight="1" x14ac:dyDescent="0.35">
      <c r="A2" s="118"/>
      <c r="B2" s="607" t="s">
        <v>472</v>
      </c>
      <c r="C2" s="608"/>
      <c r="D2" s="608"/>
      <c r="E2" s="608"/>
      <c r="F2" s="608"/>
      <c r="G2" s="608"/>
      <c r="H2" s="608"/>
      <c r="I2" s="608"/>
      <c r="J2" s="608"/>
      <c r="K2" s="608"/>
      <c r="L2" s="609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18"/>
    </row>
    <row r="3" spans="1:26" ht="12" customHeight="1" x14ac:dyDescent="0.35">
      <c r="A3" s="118"/>
      <c r="B3" s="610" t="s">
        <v>473</v>
      </c>
      <c r="C3" s="611">
        <f t="shared" ref="C3:C4" si="0">1500*5</f>
        <v>7500</v>
      </c>
      <c r="D3" s="612">
        <v>8300</v>
      </c>
      <c r="E3" s="612">
        <v>7000</v>
      </c>
      <c r="F3" s="612">
        <v>10500</v>
      </c>
      <c r="G3" s="611">
        <v>2000</v>
      </c>
      <c r="H3" s="612">
        <v>8000</v>
      </c>
      <c r="I3" s="612">
        <v>6000</v>
      </c>
      <c r="J3" s="613"/>
      <c r="K3" s="613"/>
      <c r="L3" s="614">
        <f t="shared" ref="L3:L10" si="1">SUM(C3:K3)</f>
        <v>49300</v>
      </c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18"/>
    </row>
    <row r="4" spans="1:26" ht="12" customHeight="1" x14ac:dyDescent="0.35">
      <c r="A4" s="118"/>
      <c r="B4" s="591" t="s">
        <v>143</v>
      </c>
      <c r="C4" s="615">
        <f t="shared" si="0"/>
        <v>7500</v>
      </c>
      <c r="D4" s="616">
        <v>12500</v>
      </c>
      <c r="E4" s="616">
        <v>7000</v>
      </c>
      <c r="F4" s="616">
        <v>10500</v>
      </c>
      <c r="G4" s="615">
        <v>2000</v>
      </c>
      <c r="H4" s="616">
        <v>8000</v>
      </c>
      <c r="I4" s="616">
        <v>8000</v>
      </c>
      <c r="J4" s="617"/>
      <c r="K4" s="617"/>
      <c r="L4" s="618">
        <f t="shared" si="1"/>
        <v>55500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18"/>
    </row>
    <row r="5" spans="1:26" ht="12" customHeight="1" x14ac:dyDescent="0.35">
      <c r="A5" s="118"/>
      <c r="B5" s="591" t="s">
        <v>474</v>
      </c>
      <c r="C5" s="617"/>
      <c r="D5" s="616">
        <f>2500*5+500*5</f>
        <v>15000</v>
      </c>
      <c r="E5" s="616">
        <f>2500+500*5</f>
        <v>5000</v>
      </c>
      <c r="F5" s="615">
        <f>1500+2500+7*500</f>
        <v>7500</v>
      </c>
      <c r="G5" s="615">
        <v>0</v>
      </c>
      <c r="H5" s="619"/>
      <c r="I5" s="619"/>
      <c r="J5" s="617"/>
      <c r="K5" s="617"/>
      <c r="L5" s="618">
        <f t="shared" si="1"/>
        <v>27500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18"/>
    </row>
    <row r="6" spans="1:26" ht="12" customHeight="1" x14ac:dyDescent="0.35">
      <c r="A6" s="118"/>
      <c r="B6" s="591" t="s">
        <v>475</v>
      </c>
      <c r="C6" s="620">
        <f>Høstmøtet!O44</f>
        <v>5000</v>
      </c>
      <c r="D6" s="621">
        <f>Høstmøtet!O45</f>
        <v>5000</v>
      </c>
      <c r="E6" s="620">
        <f>Høstmøtet!O40</f>
        <v>4000</v>
      </c>
      <c r="F6" s="620">
        <f>Høstmøtet!O39</f>
        <v>7000</v>
      </c>
      <c r="G6" s="620">
        <f>Høstmøtet!O42</f>
        <v>2000</v>
      </c>
      <c r="H6" s="621">
        <f>Høstmøtet!O43</f>
        <v>4000</v>
      </c>
      <c r="I6" s="621">
        <f>Høstmøtet!O41</f>
        <v>3000</v>
      </c>
      <c r="J6" s="617"/>
      <c r="K6" s="617"/>
      <c r="L6" s="618">
        <f t="shared" si="1"/>
        <v>30000</v>
      </c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18"/>
    </row>
    <row r="7" spans="1:26" ht="12" customHeight="1" x14ac:dyDescent="0.35">
      <c r="A7" s="118"/>
      <c r="B7" s="591" t="s">
        <v>476</v>
      </c>
      <c r="C7" s="620">
        <f>Landsmøtet!N42</f>
        <v>1000</v>
      </c>
      <c r="D7" s="621">
        <f>Landsmøtet!N43</f>
        <v>1000</v>
      </c>
      <c r="E7" s="621">
        <f>Landsmøtet!N38</f>
        <v>1000</v>
      </c>
      <c r="F7" s="621">
        <f>Landsmøtet!N37</f>
        <v>1000</v>
      </c>
      <c r="G7" s="621">
        <f>Landsmøtet!N40</f>
        <v>0</v>
      </c>
      <c r="H7" s="621">
        <f>Landsmøtet!N41</f>
        <v>0</v>
      </c>
      <c r="I7" s="621">
        <f>Landsmøtet!N39</f>
        <v>1000</v>
      </c>
      <c r="J7" s="621">
        <f>Landsmøtet!N45</f>
        <v>0</v>
      </c>
      <c r="K7" s="621">
        <f>Landsmøtet!N44</f>
        <v>1000</v>
      </c>
      <c r="L7" s="618">
        <f t="shared" si="1"/>
        <v>6000</v>
      </c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18"/>
    </row>
    <row r="8" spans="1:26" ht="12" customHeight="1" x14ac:dyDescent="0.35">
      <c r="A8" s="118"/>
      <c r="B8" s="591" t="s">
        <v>477</v>
      </c>
      <c r="C8" s="617"/>
      <c r="D8" s="617"/>
      <c r="E8" s="617"/>
      <c r="F8" s="617"/>
      <c r="G8" s="617"/>
      <c r="H8" s="617"/>
      <c r="I8" s="619"/>
      <c r="J8" s="617"/>
      <c r="K8" s="617"/>
      <c r="L8" s="618">
        <f t="shared" si="1"/>
        <v>0</v>
      </c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18"/>
    </row>
    <row r="9" spans="1:26" ht="12" customHeight="1" x14ac:dyDescent="0.35">
      <c r="A9" s="118"/>
      <c r="B9" s="591" t="s">
        <v>478</v>
      </c>
      <c r="C9" s="617"/>
      <c r="D9" s="617"/>
      <c r="E9" s="617"/>
      <c r="F9" s="617"/>
      <c r="G9" s="617"/>
      <c r="H9" s="617"/>
      <c r="I9" s="619"/>
      <c r="J9" s="617"/>
      <c r="K9" s="617"/>
      <c r="L9" s="618">
        <f t="shared" si="1"/>
        <v>0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18"/>
    </row>
    <row r="10" spans="1:26" ht="12" customHeight="1" x14ac:dyDescent="0.35">
      <c r="A10" s="118"/>
      <c r="B10" s="591" t="s">
        <v>479</v>
      </c>
      <c r="C10" s="617"/>
      <c r="D10" s="617"/>
      <c r="E10" s="617"/>
      <c r="F10" s="617"/>
      <c r="G10" s="617">
        <v>1000</v>
      </c>
      <c r="H10" s="617"/>
      <c r="I10" s="619"/>
      <c r="J10" s="617"/>
      <c r="K10" s="617"/>
      <c r="L10" s="618">
        <f t="shared" si="1"/>
        <v>1000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18"/>
    </row>
    <row r="11" spans="1:26" ht="12" customHeight="1" x14ac:dyDescent="0.35">
      <c r="A11" s="622"/>
      <c r="B11" s="11" t="s">
        <v>480</v>
      </c>
      <c r="C11" s="60">
        <f t="shared" ref="C11:L11" si="2">SUM(C2:C10)</f>
        <v>21000</v>
      </c>
      <c r="D11" s="60">
        <f t="shared" si="2"/>
        <v>41800</v>
      </c>
      <c r="E11" s="60">
        <f t="shared" si="2"/>
        <v>24000</v>
      </c>
      <c r="F11" s="60">
        <f t="shared" si="2"/>
        <v>36500</v>
      </c>
      <c r="G11" s="60">
        <f t="shared" si="2"/>
        <v>7000</v>
      </c>
      <c r="H11" s="60">
        <f t="shared" si="2"/>
        <v>20000</v>
      </c>
      <c r="I11" s="60">
        <f t="shared" si="2"/>
        <v>18000</v>
      </c>
      <c r="J11" s="60">
        <f t="shared" si="2"/>
        <v>0</v>
      </c>
      <c r="K11" s="60">
        <f t="shared" si="2"/>
        <v>1000</v>
      </c>
      <c r="L11" s="604">
        <f t="shared" si="2"/>
        <v>169300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622"/>
    </row>
    <row r="12" spans="1:26" ht="12" customHeight="1" x14ac:dyDescent="0.35">
      <c r="A12" s="622" t="s">
        <v>481</v>
      </c>
      <c r="B12" s="623" t="s">
        <v>420</v>
      </c>
      <c r="C12" s="617"/>
      <c r="D12" s="617"/>
      <c r="E12" s="617"/>
      <c r="F12" s="617"/>
      <c r="G12" s="617"/>
      <c r="H12" s="617"/>
      <c r="I12" s="617"/>
      <c r="J12" s="617"/>
      <c r="K12" s="617"/>
      <c r="L12" s="624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18"/>
    </row>
    <row r="13" spans="1:26" ht="12" customHeight="1" x14ac:dyDescent="0.35">
      <c r="A13" s="118">
        <v>6801</v>
      </c>
      <c r="B13" s="591" t="s">
        <v>482</v>
      </c>
      <c r="C13" s="617"/>
      <c r="D13" s="617"/>
      <c r="E13" s="617"/>
      <c r="F13" s="617"/>
      <c r="G13" s="617"/>
      <c r="H13" s="615">
        <v>10000</v>
      </c>
      <c r="I13" s="617"/>
      <c r="J13" s="617"/>
      <c r="K13" s="617"/>
      <c r="L13" s="624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18"/>
    </row>
    <row r="14" spans="1:26" ht="12" customHeight="1" x14ac:dyDescent="0.35">
      <c r="A14" s="118">
        <v>4610</v>
      </c>
      <c r="B14" s="591" t="s">
        <v>483</v>
      </c>
      <c r="C14" s="617"/>
      <c r="D14" s="617"/>
      <c r="E14" s="617"/>
      <c r="F14" s="617"/>
      <c r="G14" s="617"/>
      <c r="H14" s="615">
        <v>24000</v>
      </c>
      <c r="I14" s="617"/>
      <c r="J14" s="617"/>
      <c r="K14" s="617"/>
      <c r="L14" s="624"/>
      <c r="M14" s="126" t="s">
        <v>484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18"/>
    </row>
    <row r="15" spans="1:26" ht="12" customHeight="1" x14ac:dyDescent="0.35">
      <c r="A15" s="118">
        <v>6960</v>
      </c>
      <c r="B15" s="591" t="s">
        <v>485</v>
      </c>
      <c r="C15" s="617"/>
      <c r="D15" s="617"/>
      <c r="E15" s="617"/>
      <c r="F15" s="617"/>
      <c r="G15" s="617"/>
      <c r="H15" s="617"/>
      <c r="I15" s="615">
        <f>1200+2400</f>
        <v>3600</v>
      </c>
      <c r="J15" s="617"/>
      <c r="K15" s="617"/>
      <c r="L15" s="624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18"/>
    </row>
    <row r="16" spans="1:26" ht="12" customHeight="1" x14ac:dyDescent="0.35">
      <c r="A16" s="118">
        <v>6140</v>
      </c>
      <c r="B16" s="591" t="s">
        <v>486</v>
      </c>
      <c r="C16" s="617"/>
      <c r="D16" s="617"/>
      <c r="E16" s="617"/>
      <c r="F16" s="617"/>
      <c r="G16" s="615">
        <v>2000</v>
      </c>
      <c r="H16" s="617"/>
      <c r="I16" s="617"/>
      <c r="J16" s="617"/>
      <c r="K16" s="617"/>
      <c r="L16" s="624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18"/>
    </row>
    <row r="17" spans="1:26" ht="12" customHeight="1" x14ac:dyDescent="0.35">
      <c r="A17" s="622"/>
      <c r="B17" s="11" t="s">
        <v>487</v>
      </c>
      <c r="C17" s="60">
        <f t="shared" ref="C17:F17" si="3">SUM(C13:C15)</f>
        <v>0</v>
      </c>
      <c r="D17" s="60">
        <f t="shared" si="3"/>
        <v>0</v>
      </c>
      <c r="E17" s="60">
        <f t="shared" si="3"/>
        <v>0</v>
      </c>
      <c r="F17" s="60">
        <f t="shared" si="3"/>
        <v>0</v>
      </c>
      <c r="G17" s="60">
        <f>SUM(G13:G16)</f>
        <v>2000</v>
      </c>
      <c r="H17" s="60">
        <f t="shared" ref="H17:K17" si="4">SUM(H13:H15)</f>
        <v>34000</v>
      </c>
      <c r="I17" s="60">
        <f t="shared" si="4"/>
        <v>3600</v>
      </c>
      <c r="J17" s="60">
        <f t="shared" si="4"/>
        <v>0</v>
      </c>
      <c r="K17" s="60">
        <f t="shared" si="4"/>
        <v>0</v>
      </c>
      <c r="L17" s="604">
        <f>SUM(C17:K17)</f>
        <v>39600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622"/>
    </row>
    <row r="18" spans="1:26" ht="12" customHeight="1" x14ac:dyDescent="0.35">
      <c r="A18" s="118"/>
      <c r="B18" s="625" t="s">
        <v>151</v>
      </c>
      <c r="C18" s="626">
        <f t="shared" ref="C18:L18" si="5">C11+C17</f>
        <v>21000</v>
      </c>
      <c r="D18" s="627">
        <f t="shared" si="5"/>
        <v>41800</v>
      </c>
      <c r="E18" s="625">
        <f t="shared" si="5"/>
        <v>24000</v>
      </c>
      <c r="F18" s="626">
        <f t="shared" si="5"/>
        <v>36500</v>
      </c>
      <c r="G18" s="627">
        <f t="shared" si="5"/>
        <v>9000</v>
      </c>
      <c r="H18" s="625">
        <f t="shared" si="5"/>
        <v>54000</v>
      </c>
      <c r="I18" s="626">
        <f t="shared" si="5"/>
        <v>21600</v>
      </c>
      <c r="J18" s="627">
        <f t="shared" si="5"/>
        <v>0</v>
      </c>
      <c r="K18" s="625">
        <f t="shared" si="5"/>
        <v>1000</v>
      </c>
      <c r="L18" s="627">
        <f t="shared" si="5"/>
        <v>208900</v>
      </c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18"/>
    </row>
    <row r="19" spans="1:26" ht="12" customHeight="1" x14ac:dyDescent="0.3">
      <c r="A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ht="12" customHeight="1" x14ac:dyDescent="0.3">
      <c r="A20" s="118"/>
      <c r="B20" s="628" t="s">
        <v>488</v>
      </c>
      <c r="C20" s="629" t="s">
        <v>489</v>
      </c>
      <c r="D20" s="629" t="s">
        <v>490</v>
      </c>
      <c r="E20" s="394" t="s">
        <v>151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ht="12" customHeight="1" x14ac:dyDescent="0.35">
      <c r="A21" s="118"/>
      <c r="B21" s="630" t="s">
        <v>475</v>
      </c>
      <c r="C21" s="149">
        <f>Høstmøtet!M46</f>
        <v>72048.333333333343</v>
      </c>
      <c r="D21" s="149">
        <f>Høstmøtet!N46</f>
        <v>23300.970873786409</v>
      </c>
      <c r="E21" s="631">
        <f t="shared" ref="E21:E22" si="6">SUM(C21:D21)</f>
        <v>95349.304207119756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ht="12" customHeight="1" x14ac:dyDescent="0.35">
      <c r="A22" s="118"/>
      <c r="B22" s="630" t="s">
        <v>476</v>
      </c>
      <c r="C22" s="149">
        <f>Landsmøtet!L46</f>
        <v>15098</v>
      </c>
      <c r="D22" s="149">
        <f>Landsmøtet!M46</f>
        <v>5142.8571428571422</v>
      </c>
      <c r="E22" s="631">
        <f t="shared" si="6"/>
        <v>20240.857142857141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2" customHeight="1" x14ac:dyDescent="0.3">
      <c r="A23" s="118"/>
      <c r="B23" s="11" t="s">
        <v>136</v>
      </c>
      <c r="C23" s="60">
        <f t="shared" ref="C23:E23" si="7">SUM(C21:C22)</f>
        <v>87146.333333333343</v>
      </c>
      <c r="D23" s="60">
        <f t="shared" si="7"/>
        <v>28443.828016643551</v>
      </c>
      <c r="E23" s="604">
        <f t="shared" si="7"/>
        <v>115590.1613499769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2" customHeight="1" x14ac:dyDescent="0.3">
      <c r="A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2" customHeight="1" x14ac:dyDescent="0.3">
      <c r="A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2" customHeight="1" x14ac:dyDescent="0.3">
      <c r="A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26" ht="12" customHeight="1" x14ac:dyDescent="0.3">
      <c r="A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</row>
    <row r="28" spans="1:26" ht="12" customHeight="1" x14ac:dyDescent="0.3">
      <c r="A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 ht="12" customHeight="1" x14ac:dyDescent="0.3">
      <c r="A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 ht="12" customHeight="1" x14ac:dyDescent="0.3">
      <c r="A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ht="12" customHeight="1" x14ac:dyDescent="0.3">
      <c r="A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ht="12" customHeight="1" x14ac:dyDescent="0.3">
      <c r="A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 ht="12" customHeight="1" x14ac:dyDescent="0.3">
      <c r="A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ht="12" customHeight="1" x14ac:dyDescent="0.3">
      <c r="A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2" customHeight="1" x14ac:dyDescent="0.3">
      <c r="A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2" customHeight="1" x14ac:dyDescent="0.3">
      <c r="A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12" customHeight="1" x14ac:dyDescent="0.3">
      <c r="A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12" customHeight="1" x14ac:dyDescent="0.3">
      <c r="A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ht="12" customHeight="1" x14ac:dyDescent="0.3">
      <c r="A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:26" ht="12" customHeight="1" x14ac:dyDescent="0.3">
      <c r="A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:26" ht="12" customHeight="1" x14ac:dyDescent="0.3">
      <c r="A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ht="12" customHeight="1" x14ac:dyDescent="0.3">
      <c r="A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ht="12" customHeight="1" x14ac:dyDescent="0.3">
      <c r="A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26" ht="12" customHeight="1" x14ac:dyDescent="0.35">
      <c r="A44" s="118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18"/>
    </row>
    <row r="45" spans="1:26" ht="12" customHeight="1" x14ac:dyDescent="0.35">
      <c r="A45" s="118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18"/>
    </row>
    <row r="46" spans="1:26" ht="12" customHeight="1" x14ac:dyDescent="0.35">
      <c r="A46" s="118"/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18"/>
    </row>
    <row r="47" spans="1:26" ht="12" customHeight="1" x14ac:dyDescent="0.35">
      <c r="A47" s="118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18"/>
    </row>
    <row r="48" spans="1:26" ht="12" customHeight="1" x14ac:dyDescent="0.35">
      <c r="A48" s="118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18"/>
    </row>
    <row r="49" spans="1:26" ht="12" customHeight="1" x14ac:dyDescent="0.35">
      <c r="A49" s="118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18"/>
    </row>
    <row r="50" spans="1:26" ht="12" customHeight="1" x14ac:dyDescent="0.35">
      <c r="A50" s="118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18"/>
    </row>
    <row r="51" spans="1:26" ht="12" customHeight="1" x14ac:dyDescent="0.35">
      <c r="A51" s="118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18"/>
    </row>
    <row r="52" spans="1:26" ht="12" customHeight="1" x14ac:dyDescent="0.35">
      <c r="A52" s="118"/>
      <c r="B52" s="632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18"/>
    </row>
    <row r="53" spans="1:26" ht="12" customHeight="1" x14ac:dyDescent="0.35">
      <c r="A53" s="118"/>
      <c r="B53" s="632"/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18"/>
    </row>
    <row r="54" spans="1:26" ht="12" customHeight="1" x14ac:dyDescent="0.35">
      <c r="A54" s="118"/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18"/>
    </row>
    <row r="55" spans="1:26" ht="12" customHeight="1" x14ac:dyDescent="0.35">
      <c r="A55" s="118"/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18"/>
    </row>
    <row r="56" spans="1:26" ht="12" customHeight="1" x14ac:dyDescent="0.35">
      <c r="A56" s="118"/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18"/>
    </row>
    <row r="57" spans="1:26" ht="12" customHeight="1" x14ac:dyDescent="0.35">
      <c r="A57" s="118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18"/>
    </row>
    <row r="58" spans="1:26" ht="12" customHeight="1" x14ac:dyDescent="0.35">
      <c r="A58" s="118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18"/>
    </row>
    <row r="59" spans="1:26" ht="12" customHeight="1" x14ac:dyDescent="0.35">
      <c r="A59" s="118"/>
      <c r="B59" s="632"/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18"/>
    </row>
    <row r="60" spans="1:26" ht="12" customHeight="1" x14ac:dyDescent="0.35">
      <c r="A60" s="118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18"/>
    </row>
    <row r="61" spans="1:26" ht="12" customHeight="1" x14ac:dyDescent="0.35">
      <c r="A61" s="118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18"/>
    </row>
    <row r="62" spans="1:26" ht="12" customHeight="1" x14ac:dyDescent="0.35">
      <c r="A62" s="118"/>
      <c r="B62" s="632"/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18"/>
    </row>
    <row r="63" spans="1:26" ht="12" customHeight="1" x14ac:dyDescent="0.35">
      <c r="A63" s="118"/>
      <c r="B63" s="632"/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18"/>
    </row>
    <row r="64" spans="1:26" ht="12" customHeight="1" x14ac:dyDescent="0.35">
      <c r="A64" s="118"/>
      <c r="B64" s="632"/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18"/>
    </row>
    <row r="65" spans="1:26" ht="12" customHeight="1" x14ac:dyDescent="0.35">
      <c r="A65" s="118"/>
      <c r="B65" s="632"/>
      <c r="C65" s="632"/>
      <c r="D65" s="632"/>
      <c r="E65" s="632"/>
      <c r="F65" s="632"/>
      <c r="G65" s="632"/>
      <c r="H65" s="632"/>
      <c r="I65" s="632"/>
      <c r="J65" s="632"/>
      <c r="K65" s="632"/>
      <c r="L65" s="632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18"/>
    </row>
    <row r="66" spans="1:26" ht="12" customHeight="1" x14ac:dyDescent="0.35">
      <c r="A66" s="118"/>
      <c r="B66" s="632"/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18"/>
    </row>
    <row r="67" spans="1:26" ht="12" customHeight="1" x14ac:dyDescent="0.35">
      <c r="A67" s="118"/>
      <c r="B67" s="632"/>
      <c r="C67" s="632"/>
      <c r="D67" s="632"/>
      <c r="E67" s="632"/>
      <c r="F67" s="632"/>
      <c r="G67" s="632"/>
      <c r="H67" s="632"/>
      <c r="I67" s="632"/>
      <c r="J67" s="632"/>
      <c r="K67" s="632"/>
      <c r="L67" s="632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18"/>
    </row>
    <row r="68" spans="1:26" ht="12" customHeight="1" x14ac:dyDescent="0.35">
      <c r="A68" s="118"/>
      <c r="B68" s="632"/>
      <c r="C68" s="632"/>
      <c r="D68" s="632"/>
      <c r="E68" s="632"/>
      <c r="F68" s="632"/>
      <c r="G68" s="632"/>
      <c r="H68" s="632"/>
      <c r="I68" s="632"/>
      <c r="J68" s="632"/>
      <c r="K68" s="632"/>
      <c r="L68" s="632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18"/>
    </row>
    <row r="69" spans="1:26" ht="12" customHeight="1" x14ac:dyDescent="0.35">
      <c r="A69" s="118"/>
      <c r="B69" s="632"/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18"/>
    </row>
    <row r="70" spans="1:26" ht="12" customHeight="1" x14ac:dyDescent="0.35">
      <c r="A70" s="118"/>
      <c r="B70" s="632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18"/>
    </row>
    <row r="71" spans="1:26" ht="12" customHeight="1" x14ac:dyDescent="0.35">
      <c r="A71" s="118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18"/>
    </row>
    <row r="72" spans="1:26" ht="12" customHeight="1" x14ac:dyDescent="0.35">
      <c r="A72" s="118"/>
      <c r="B72" s="632"/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18"/>
    </row>
    <row r="73" spans="1:26" ht="12" customHeight="1" x14ac:dyDescent="0.35">
      <c r="A73" s="118"/>
      <c r="B73" s="632"/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18"/>
    </row>
    <row r="74" spans="1:26" ht="12" customHeight="1" x14ac:dyDescent="0.35">
      <c r="A74" s="118"/>
      <c r="B74" s="632"/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18"/>
    </row>
    <row r="75" spans="1:26" ht="12" customHeight="1" x14ac:dyDescent="0.35">
      <c r="A75" s="118"/>
      <c r="B75" s="632"/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18"/>
    </row>
    <row r="76" spans="1:26" ht="12" customHeight="1" x14ac:dyDescent="0.35">
      <c r="A76" s="118"/>
      <c r="B76" s="632"/>
      <c r="C76" s="632"/>
      <c r="D76" s="632"/>
      <c r="E76" s="632"/>
      <c r="F76" s="632"/>
      <c r="G76" s="632"/>
      <c r="H76" s="632"/>
      <c r="I76" s="632"/>
      <c r="J76" s="632"/>
      <c r="K76" s="632"/>
      <c r="L76" s="632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18"/>
    </row>
    <row r="77" spans="1:26" ht="12" customHeight="1" x14ac:dyDescent="0.35">
      <c r="A77" s="118"/>
      <c r="B77" s="632"/>
      <c r="C77" s="632"/>
      <c r="D77" s="632"/>
      <c r="E77" s="632"/>
      <c r="F77" s="632"/>
      <c r="G77" s="632"/>
      <c r="H77" s="632"/>
      <c r="I77" s="632"/>
      <c r="J77" s="632"/>
      <c r="K77" s="632"/>
      <c r="L77" s="632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18"/>
    </row>
    <row r="78" spans="1:26" ht="12" customHeight="1" x14ac:dyDescent="0.35">
      <c r="A78" s="118"/>
      <c r="B78" s="632"/>
      <c r="C78" s="632"/>
      <c r="D78" s="632"/>
      <c r="E78" s="632"/>
      <c r="F78" s="632"/>
      <c r="G78" s="632"/>
      <c r="H78" s="632"/>
      <c r="I78" s="632"/>
      <c r="J78" s="632"/>
      <c r="K78" s="632"/>
      <c r="L78" s="632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18"/>
    </row>
    <row r="79" spans="1:26" ht="12" customHeight="1" x14ac:dyDescent="0.35">
      <c r="A79" s="118"/>
      <c r="B79" s="632"/>
      <c r="C79" s="632"/>
      <c r="D79" s="632"/>
      <c r="E79" s="632"/>
      <c r="F79" s="632"/>
      <c r="G79" s="632"/>
      <c r="H79" s="632"/>
      <c r="I79" s="632"/>
      <c r="J79" s="632"/>
      <c r="K79" s="632"/>
      <c r="L79" s="632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18"/>
    </row>
    <row r="80" spans="1:26" ht="12" customHeight="1" x14ac:dyDescent="0.35">
      <c r="A80" s="118"/>
      <c r="B80" s="632"/>
      <c r="C80" s="632"/>
      <c r="D80" s="632"/>
      <c r="E80" s="632"/>
      <c r="F80" s="632"/>
      <c r="G80" s="632"/>
      <c r="H80" s="632"/>
      <c r="I80" s="632"/>
      <c r="J80" s="632"/>
      <c r="K80" s="632"/>
      <c r="L80" s="632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18"/>
    </row>
    <row r="81" spans="1:26" ht="12" customHeight="1" x14ac:dyDescent="0.35">
      <c r="A81" s="118"/>
      <c r="B81" s="632"/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18"/>
    </row>
    <row r="82" spans="1:26" ht="12" customHeight="1" x14ac:dyDescent="0.35">
      <c r="A82" s="118"/>
      <c r="B82" s="632"/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18"/>
    </row>
    <row r="83" spans="1:26" ht="12" customHeight="1" x14ac:dyDescent="0.35">
      <c r="A83" s="118"/>
      <c r="B83" s="632"/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18"/>
    </row>
    <row r="84" spans="1:26" ht="12" customHeight="1" x14ac:dyDescent="0.35">
      <c r="A84" s="118"/>
      <c r="B84" s="632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18"/>
    </row>
    <row r="85" spans="1:26" ht="12" customHeight="1" x14ac:dyDescent="0.35">
      <c r="A85" s="118"/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18"/>
    </row>
    <row r="86" spans="1:26" ht="12" customHeight="1" x14ac:dyDescent="0.35">
      <c r="A86" s="118"/>
      <c r="B86" s="632"/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18"/>
    </row>
    <row r="87" spans="1:26" ht="12" customHeight="1" x14ac:dyDescent="0.35">
      <c r="A87" s="118"/>
      <c r="B87" s="632"/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18"/>
    </row>
    <row r="88" spans="1:26" ht="12" customHeight="1" x14ac:dyDescent="0.35">
      <c r="A88" s="118"/>
      <c r="B88" s="632"/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18"/>
    </row>
    <row r="89" spans="1:26" ht="12" customHeight="1" x14ac:dyDescent="0.35">
      <c r="A89" s="118"/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18"/>
    </row>
    <row r="90" spans="1:26" ht="12" customHeight="1" x14ac:dyDescent="0.35">
      <c r="A90" s="118"/>
      <c r="B90" s="632"/>
      <c r="C90" s="632"/>
      <c r="D90" s="632"/>
      <c r="E90" s="632"/>
      <c r="F90" s="632"/>
      <c r="G90" s="632"/>
      <c r="H90" s="632"/>
      <c r="I90" s="632"/>
      <c r="J90" s="632"/>
      <c r="K90" s="632"/>
      <c r="L90" s="632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18"/>
    </row>
    <row r="91" spans="1:26" ht="12" customHeight="1" x14ac:dyDescent="0.35">
      <c r="A91" s="118"/>
      <c r="B91" s="632"/>
      <c r="C91" s="632"/>
      <c r="D91" s="632"/>
      <c r="E91" s="632"/>
      <c r="F91" s="632"/>
      <c r="G91" s="632"/>
      <c r="H91" s="632"/>
      <c r="I91" s="632"/>
      <c r="J91" s="632"/>
      <c r="K91" s="632"/>
      <c r="L91" s="632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18"/>
    </row>
    <row r="92" spans="1:26" ht="12" customHeight="1" x14ac:dyDescent="0.35">
      <c r="A92" s="118"/>
      <c r="B92" s="632"/>
      <c r="C92" s="632"/>
      <c r="D92" s="632"/>
      <c r="E92" s="632"/>
      <c r="F92" s="632"/>
      <c r="G92" s="632"/>
      <c r="H92" s="632"/>
      <c r="I92" s="632"/>
      <c r="J92" s="632"/>
      <c r="K92" s="632"/>
      <c r="L92" s="632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18"/>
    </row>
    <row r="93" spans="1:26" ht="12" customHeight="1" x14ac:dyDescent="0.35">
      <c r="A93" s="118"/>
      <c r="B93" s="632"/>
      <c r="C93" s="632"/>
      <c r="D93" s="632"/>
      <c r="E93" s="632"/>
      <c r="F93" s="632"/>
      <c r="G93" s="632"/>
      <c r="H93" s="632"/>
      <c r="I93" s="632"/>
      <c r="J93" s="632"/>
      <c r="K93" s="632"/>
      <c r="L93" s="632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18"/>
    </row>
    <row r="94" spans="1:26" ht="12" customHeight="1" x14ac:dyDescent="0.35">
      <c r="A94" s="118"/>
      <c r="B94" s="632"/>
      <c r="C94" s="632"/>
      <c r="D94" s="632"/>
      <c r="E94" s="632"/>
      <c r="F94" s="632"/>
      <c r="G94" s="632"/>
      <c r="H94" s="632"/>
      <c r="I94" s="632"/>
      <c r="J94" s="632"/>
      <c r="K94" s="632"/>
      <c r="L94" s="632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18"/>
    </row>
    <row r="95" spans="1:26" ht="12" customHeight="1" x14ac:dyDescent="0.35">
      <c r="A95" s="118"/>
      <c r="B95" s="632"/>
      <c r="C95" s="632"/>
      <c r="D95" s="632"/>
      <c r="E95" s="632"/>
      <c r="F95" s="632"/>
      <c r="G95" s="632"/>
      <c r="H95" s="632"/>
      <c r="I95" s="632"/>
      <c r="J95" s="632"/>
      <c r="K95" s="632"/>
      <c r="L95" s="632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18"/>
    </row>
    <row r="96" spans="1:26" ht="12" customHeight="1" x14ac:dyDescent="0.35">
      <c r="A96" s="118"/>
      <c r="B96" s="632"/>
      <c r="C96" s="632"/>
      <c r="D96" s="632"/>
      <c r="E96" s="632"/>
      <c r="F96" s="632"/>
      <c r="G96" s="632"/>
      <c r="H96" s="632"/>
      <c r="I96" s="632"/>
      <c r="J96" s="632"/>
      <c r="K96" s="632"/>
      <c r="L96" s="632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18"/>
    </row>
    <row r="97" spans="1:26" ht="12" customHeight="1" x14ac:dyDescent="0.35">
      <c r="A97" s="118"/>
      <c r="B97" s="632"/>
      <c r="C97" s="632"/>
      <c r="D97" s="632"/>
      <c r="E97" s="632"/>
      <c r="F97" s="632"/>
      <c r="G97" s="632"/>
      <c r="H97" s="632"/>
      <c r="I97" s="632"/>
      <c r="J97" s="632"/>
      <c r="K97" s="632"/>
      <c r="L97" s="632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18"/>
    </row>
    <row r="98" spans="1:26" ht="12" customHeight="1" x14ac:dyDescent="0.35">
      <c r="A98" s="118"/>
      <c r="B98" s="632"/>
      <c r="C98" s="632"/>
      <c r="D98" s="632"/>
      <c r="E98" s="632"/>
      <c r="F98" s="632"/>
      <c r="G98" s="632"/>
      <c r="H98" s="632"/>
      <c r="I98" s="632"/>
      <c r="J98" s="632"/>
      <c r="K98" s="632"/>
      <c r="L98" s="632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18"/>
    </row>
    <row r="99" spans="1:26" ht="12" customHeight="1" x14ac:dyDescent="0.35">
      <c r="A99" s="118"/>
      <c r="B99" s="632"/>
      <c r="C99" s="632"/>
      <c r="D99" s="632"/>
      <c r="E99" s="632"/>
      <c r="F99" s="632"/>
      <c r="G99" s="632"/>
      <c r="H99" s="632"/>
      <c r="I99" s="632"/>
      <c r="J99" s="632"/>
      <c r="K99" s="632"/>
      <c r="L99" s="632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18"/>
    </row>
    <row r="100" spans="1:26" ht="12" customHeight="1" x14ac:dyDescent="0.35">
      <c r="A100" s="118"/>
      <c r="B100" s="632"/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18"/>
    </row>
    <row r="101" spans="1:26" ht="12" customHeight="1" x14ac:dyDescent="0.35">
      <c r="A101" s="118"/>
      <c r="B101" s="632"/>
      <c r="C101" s="632"/>
      <c r="D101" s="632"/>
      <c r="E101" s="632"/>
      <c r="F101" s="632"/>
      <c r="G101" s="632"/>
      <c r="H101" s="632"/>
      <c r="I101" s="632"/>
      <c r="J101" s="632"/>
      <c r="K101" s="632"/>
      <c r="L101" s="632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18"/>
    </row>
    <row r="102" spans="1:26" ht="12" customHeight="1" x14ac:dyDescent="0.35">
      <c r="A102" s="118"/>
      <c r="B102" s="632"/>
      <c r="C102" s="632"/>
      <c r="D102" s="632"/>
      <c r="E102" s="632"/>
      <c r="F102" s="632"/>
      <c r="G102" s="632"/>
      <c r="H102" s="632"/>
      <c r="I102" s="632"/>
      <c r="J102" s="632"/>
      <c r="K102" s="632"/>
      <c r="L102" s="632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18"/>
    </row>
    <row r="103" spans="1:26" ht="12" customHeight="1" x14ac:dyDescent="0.35">
      <c r="A103" s="118"/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18"/>
    </row>
    <row r="104" spans="1:26" ht="12" customHeight="1" x14ac:dyDescent="0.35">
      <c r="A104" s="118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18"/>
    </row>
    <row r="105" spans="1:26" ht="12" customHeight="1" x14ac:dyDescent="0.35">
      <c r="A105" s="118"/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18"/>
    </row>
    <row r="106" spans="1:26" ht="12" customHeight="1" x14ac:dyDescent="0.35">
      <c r="A106" s="118"/>
      <c r="B106" s="632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18"/>
    </row>
    <row r="107" spans="1:26" ht="12" customHeight="1" x14ac:dyDescent="0.35">
      <c r="A107" s="118"/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18"/>
    </row>
    <row r="108" spans="1:26" ht="12" customHeight="1" x14ac:dyDescent="0.35">
      <c r="A108" s="118"/>
      <c r="B108" s="632"/>
      <c r="C108" s="632"/>
      <c r="D108" s="632"/>
      <c r="E108" s="632"/>
      <c r="F108" s="632"/>
      <c r="G108" s="632"/>
      <c r="H108" s="632"/>
      <c r="I108" s="632"/>
      <c r="J108" s="632"/>
      <c r="K108" s="632"/>
      <c r="L108" s="632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18"/>
    </row>
    <row r="109" spans="1:26" ht="12" customHeight="1" x14ac:dyDescent="0.35">
      <c r="A109" s="118"/>
      <c r="B109" s="632"/>
      <c r="C109" s="632"/>
      <c r="D109" s="632"/>
      <c r="E109" s="632"/>
      <c r="F109" s="632"/>
      <c r="G109" s="632"/>
      <c r="H109" s="632"/>
      <c r="I109" s="632"/>
      <c r="J109" s="632"/>
      <c r="K109" s="632"/>
      <c r="L109" s="632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18"/>
    </row>
    <row r="110" spans="1:26" ht="12" customHeight="1" x14ac:dyDescent="0.35">
      <c r="A110" s="118"/>
      <c r="B110" s="632"/>
      <c r="C110" s="632"/>
      <c r="D110" s="632"/>
      <c r="E110" s="632"/>
      <c r="F110" s="632"/>
      <c r="G110" s="632"/>
      <c r="H110" s="632"/>
      <c r="I110" s="632"/>
      <c r="J110" s="632"/>
      <c r="K110" s="632"/>
      <c r="L110" s="632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18"/>
    </row>
    <row r="111" spans="1:26" ht="12" customHeight="1" x14ac:dyDescent="0.35">
      <c r="A111" s="118"/>
      <c r="B111" s="632"/>
      <c r="C111" s="632"/>
      <c r="D111" s="632"/>
      <c r="E111" s="632"/>
      <c r="F111" s="632"/>
      <c r="G111" s="632"/>
      <c r="H111" s="632"/>
      <c r="I111" s="632"/>
      <c r="J111" s="632"/>
      <c r="K111" s="632"/>
      <c r="L111" s="632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18"/>
    </row>
    <row r="112" spans="1:26" ht="12" customHeight="1" x14ac:dyDescent="0.35">
      <c r="A112" s="118"/>
      <c r="B112" s="632"/>
      <c r="C112" s="632"/>
      <c r="D112" s="632"/>
      <c r="E112" s="632"/>
      <c r="F112" s="632"/>
      <c r="G112" s="632"/>
      <c r="H112" s="632"/>
      <c r="I112" s="632"/>
      <c r="J112" s="632"/>
      <c r="K112" s="632"/>
      <c r="L112" s="632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18"/>
    </row>
    <row r="113" spans="1:26" ht="12" customHeight="1" x14ac:dyDescent="0.35">
      <c r="A113" s="118"/>
      <c r="B113" s="632"/>
      <c r="C113" s="632"/>
      <c r="D113" s="632"/>
      <c r="E113" s="632"/>
      <c r="F113" s="632"/>
      <c r="G113" s="632"/>
      <c r="H113" s="632"/>
      <c r="I113" s="632"/>
      <c r="J113" s="632"/>
      <c r="K113" s="632"/>
      <c r="L113" s="632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18"/>
    </row>
    <row r="114" spans="1:26" ht="12" customHeight="1" x14ac:dyDescent="0.35">
      <c r="A114" s="118"/>
      <c r="B114" s="632"/>
      <c r="C114" s="632"/>
      <c r="D114" s="632"/>
      <c r="E114" s="632"/>
      <c r="F114" s="632"/>
      <c r="G114" s="632"/>
      <c r="H114" s="632"/>
      <c r="I114" s="632"/>
      <c r="J114" s="632"/>
      <c r="K114" s="632"/>
      <c r="L114" s="632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18"/>
    </row>
    <row r="115" spans="1:26" ht="12" customHeight="1" x14ac:dyDescent="0.35">
      <c r="A115" s="118"/>
      <c r="B115" s="632"/>
      <c r="C115" s="632"/>
      <c r="D115" s="632"/>
      <c r="E115" s="632"/>
      <c r="F115" s="632"/>
      <c r="G115" s="632"/>
      <c r="H115" s="632"/>
      <c r="I115" s="632"/>
      <c r="J115" s="632"/>
      <c r="K115" s="632"/>
      <c r="L115" s="632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18"/>
    </row>
    <row r="116" spans="1:26" ht="12" customHeight="1" x14ac:dyDescent="0.35">
      <c r="A116" s="118"/>
      <c r="B116" s="632"/>
      <c r="C116" s="632"/>
      <c r="D116" s="632"/>
      <c r="E116" s="632"/>
      <c r="F116" s="632"/>
      <c r="G116" s="632"/>
      <c r="H116" s="632"/>
      <c r="I116" s="632"/>
      <c r="J116" s="632"/>
      <c r="K116" s="632"/>
      <c r="L116" s="632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18"/>
    </row>
    <row r="117" spans="1:26" ht="12" customHeight="1" x14ac:dyDescent="0.35">
      <c r="A117" s="118"/>
      <c r="B117" s="632"/>
      <c r="C117" s="632"/>
      <c r="D117" s="632"/>
      <c r="E117" s="632"/>
      <c r="F117" s="632"/>
      <c r="G117" s="632"/>
      <c r="H117" s="632"/>
      <c r="I117" s="632"/>
      <c r="J117" s="632"/>
      <c r="K117" s="632"/>
      <c r="L117" s="632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18"/>
    </row>
    <row r="118" spans="1:26" ht="12" customHeight="1" x14ac:dyDescent="0.35">
      <c r="A118" s="118"/>
      <c r="B118" s="632"/>
      <c r="C118" s="632"/>
      <c r="D118" s="632"/>
      <c r="E118" s="632"/>
      <c r="F118" s="632"/>
      <c r="G118" s="632"/>
      <c r="H118" s="632"/>
      <c r="I118" s="632"/>
      <c r="J118" s="632"/>
      <c r="K118" s="632"/>
      <c r="L118" s="632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18"/>
    </row>
    <row r="119" spans="1:26" ht="12" customHeight="1" x14ac:dyDescent="0.35">
      <c r="A119" s="118"/>
      <c r="B119" s="632"/>
      <c r="C119" s="632"/>
      <c r="D119" s="632"/>
      <c r="E119" s="632"/>
      <c r="F119" s="632"/>
      <c r="G119" s="632"/>
      <c r="H119" s="632"/>
      <c r="I119" s="632"/>
      <c r="J119" s="632"/>
      <c r="K119" s="632"/>
      <c r="L119" s="632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18"/>
    </row>
    <row r="120" spans="1:26" ht="12" customHeight="1" x14ac:dyDescent="0.35">
      <c r="A120" s="118"/>
      <c r="B120" s="632"/>
      <c r="C120" s="632"/>
      <c r="D120" s="632"/>
      <c r="E120" s="632"/>
      <c r="F120" s="632"/>
      <c r="G120" s="632"/>
      <c r="H120" s="632"/>
      <c r="I120" s="632"/>
      <c r="J120" s="632"/>
      <c r="K120" s="632"/>
      <c r="L120" s="632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18"/>
    </row>
    <row r="121" spans="1:26" ht="12" customHeight="1" x14ac:dyDescent="0.35">
      <c r="A121" s="118"/>
      <c r="B121" s="632"/>
      <c r="C121" s="632"/>
      <c r="D121" s="632"/>
      <c r="E121" s="632"/>
      <c r="F121" s="632"/>
      <c r="G121" s="632"/>
      <c r="H121" s="632"/>
      <c r="I121" s="632"/>
      <c r="J121" s="632"/>
      <c r="K121" s="632"/>
      <c r="L121" s="632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18"/>
    </row>
    <row r="122" spans="1:26" ht="12" customHeight="1" x14ac:dyDescent="0.35">
      <c r="A122" s="118"/>
      <c r="B122" s="632"/>
      <c r="C122" s="632"/>
      <c r="D122" s="632"/>
      <c r="E122" s="632"/>
      <c r="F122" s="632"/>
      <c r="G122" s="632"/>
      <c r="H122" s="632"/>
      <c r="I122" s="632"/>
      <c r="J122" s="632"/>
      <c r="K122" s="632"/>
      <c r="L122" s="632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18"/>
    </row>
    <row r="123" spans="1:26" ht="12" customHeight="1" x14ac:dyDescent="0.35">
      <c r="A123" s="118"/>
      <c r="B123" s="632"/>
      <c r="C123" s="632"/>
      <c r="D123" s="632"/>
      <c r="E123" s="632"/>
      <c r="F123" s="632"/>
      <c r="G123" s="632"/>
      <c r="H123" s="632"/>
      <c r="I123" s="632"/>
      <c r="J123" s="632"/>
      <c r="K123" s="632"/>
      <c r="L123" s="632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18"/>
    </row>
    <row r="124" spans="1:26" ht="12" customHeight="1" x14ac:dyDescent="0.35">
      <c r="A124" s="118"/>
      <c r="B124" s="632"/>
      <c r="C124" s="632"/>
      <c r="D124" s="632"/>
      <c r="E124" s="632"/>
      <c r="F124" s="632"/>
      <c r="G124" s="632"/>
      <c r="H124" s="632"/>
      <c r="I124" s="632"/>
      <c r="J124" s="632"/>
      <c r="K124" s="632"/>
      <c r="L124" s="632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18"/>
    </row>
    <row r="125" spans="1:26" ht="12" customHeight="1" x14ac:dyDescent="0.35">
      <c r="A125" s="118"/>
      <c r="B125" s="632"/>
      <c r="C125" s="632"/>
      <c r="D125" s="632"/>
      <c r="E125" s="632"/>
      <c r="F125" s="632"/>
      <c r="G125" s="632"/>
      <c r="H125" s="632"/>
      <c r="I125" s="632"/>
      <c r="J125" s="632"/>
      <c r="K125" s="632"/>
      <c r="L125" s="632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18"/>
    </row>
    <row r="126" spans="1:26" ht="12" customHeight="1" x14ac:dyDescent="0.35">
      <c r="A126" s="118"/>
      <c r="B126" s="632"/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18"/>
    </row>
    <row r="127" spans="1:26" ht="12" customHeight="1" x14ac:dyDescent="0.35">
      <c r="A127" s="118"/>
      <c r="B127" s="632"/>
      <c r="C127" s="632"/>
      <c r="D127" s="632"/>
      <c r="E127" s="632"/>
      <c r="F127" s="632"/>
      <c r="G127" s="632"/>
      <c r="H127" s="632"/>
      <c r="I127" s="632"/>
      <c r="J127" s="632"/>
      <c r="K127" s="632"/>
      <c r="L127" s="632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18"/>
    </row>
    <row r="128" spans="1:26" ht="12" customHeight="1" x14ac:dyDescent="0.35">
      <c r="A128" s="118"/>
      <c r="B128" s="632"/>
      <c r="C128" s="632"/>
      <c r="D128" s="632"/>
      <c r="E128" s="632"/>
      <c r="F128" s="632"/>
      <c r="G128" s="632"/>
      <c r="H128" s="632"/>
      <c r="I128" s="632"/>
      <c r="J128" s="632"/>
      <c r="K128" s="632"/>
      <c r="L128" s="632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18"/>
    </row>
    <row r="129" spans="1:26" ht="12" customHeight="1" x14ac:dyDescent="0.35">
      <c r="A129" s="118"/>
      <c r="B129" s="632"/>
      <c r="C129" s="632"/>
      <c r="D129" s="632"/>
      <c r="E129" s="632"/>
      <c r="F129" s="632"/>
      <c r="G129" s="632"/>
      <c r="H129" s="632"/>
      <c r="I129" s="632"/>
      <c r="J129" s="632"/>
      <c r="K129" s="632"/>
      <c r="L129" s="632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18"/>
    </row>
    <row r="130" spans="1:26" ht="12" customHeight="1" x14ac:dyDescent="0.35">
      <c r="A130" s="118"/>
      <c r="B130" s="632"/>
      <c r="C130" s="632"/>
      <c r="D130" s="632"/>
      <c r="E130" s="632"/>
      <c r="F130" s="632"/>
      <c r="G130" s="632"/>
      <c r="H130" s="632"/>
      <c r="I130" s="632"/>
      <c r="J130" s="632"/>
      <c r="K130" s="632"/>
      <c r="L130" s="632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18"/>
    </row>
    <row r="131" spans="1:26" ht="12" customHeight="1" x14ac:dyDescent="0.35">
      <c r="A131" s="118"/>
      <c r="B131" s="632"/>
      <c r="C131" s="632"/>
      <c r="D131" s="632"/>
      <c r="E131" s="632"/>
      <c r="F131" s="632"/>
      <c r="G131" s="632"/>
      <c r="H131" s="632"/>
      <c r="I131" s="632"/>
      <c r="J131" s="632"/>
      <c r="K131" s="632"/>
      <c r="L131" s="632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18"/>
    </row>
    <row r="132" spans="1:26" ht="12" customHeight="1" x14ac:dyDescent="0.35">
      <c r="A132" s="118"/>
      <c r="B132" s="632"/>
      <c r="C132" s="632"/>
      <c r="D132" s="632"/>
      <c r="E132" s="632"/>
      <c r="F132" s="632"/>
      <c r="G132" s="632"/>
      <c r="H132" s="632"/>
      <c r="I132" s="632"/>
      <c r="J132" s="632"/>
      <c r="K132" s="632"/>
      <c r="L132" s="632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18"/>
    </row>
    <row r="133" spans="1:26" ht="12" customHeight="1" x14ac:dyDescent="0.35">
      <c r="A133" s="118"/>
      <c r="B133" s="632"/>
      <c r="C133" s="632"/>
      <c r="D133" s="632"/>
      <c r="E133" s="632"/>
      <c r="F133" s="632"/>
      <c r="G133" s="632"/>
      <c r="H133" s="632"/>
      <c r="I133" s="632"/>
      <c r="J133" s="632"/>
      <c r="K133" s="632"/>
      <c r="L133" s="632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18"/>
    </row>
    <row r="134" spans="1:26" ht="12" customHeight="1" x14ac:dyDescent="0.35">
      <c r="A134" s="118"/>
      <c r="B134" s="632"/>
      <c r="C134" s="632"/>
      <c r="D134" s="632"/>
      <c r="E134" s="632"/>
      <c r="F134" s="632"/>
      <c r="G134" s="632"/>
      <c r="H134" s="632"/>
      <c r="I134" s="632"/>
      <c r="J134" s="632"/>
      <c r="K134" s="632"/>
      <c r="L134" s="632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18"/>
    </row>
    <row r="135" spans="1:26" ht="12" customHeight="1" x14ac:dyDescent="0.35">
      <c r="A135" s="118"/>
      <c r="B135" s="632"/>
      <c r="C135" s="632"/>
      <c r="D135" s="632"/>
      <c r="E135" s="632"/>
      <c r="F135" s="632"/>
      <c r="G135" s="632"/>
      <c r="H135" s="632"/>
      <c r="I135" s="632"/>
      <c r="J135" s="632"/>
      <c r="K135" s="632"/>
      <c r="L135" s="632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18"/>
    </row>
    <row r="136" spans="1:26" ht="12" customHeight="1" x14ac:dyDescent="0.35">
      <c r="A136" s="118"/>
      <c r="B136" s="632"/>
      <c r="C136" s="632"/>
      <c r="D136" s="632"/>
      <c r="E136" s="632"/>
      <c r="F136" s="632"/>
      <c r="G136" s="632"/>
      <c r="H136" s="632"/>
      <c r="I136" s="632"/>
      <c r="J136" s="632"/>
      <c r="K136" s="632"/>
      <c r="L136" s="632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18"/>
    </row>
    <row r="137" spans="1:26" ht="12" customHeight="1" x14ac:dyDescent="0.35">
      <c r="A137" s="118"/>
      <c r="B137" s="632"/>
      <c r="C137" s="632"/>
      <c r="D137" s="632"/>
      <c r="E137" s="632"/>
      <c r="F137" s="632"/>
      <c r="G137" s="632"/>
      <c r="H137" s="632"/>
      <c r="I137" s="632"/>
      <c r="J137" s="632"/>
      <c r="K137" s="632"/>
      <c r="L137" s="632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18"/>
    </row>
    <row r="138" spans="1:26" ht="12" customHeight="1" x14ac:dyDescent="0.35">
      <c r="A138" s="118"/>
      <c r="B138" s="632"/>
      <c r="C138" s="632"/>
      <c r="D138" s="632"/>
      <c r="E138" s="632"/>
      <c r="F138" s="632"/>
      <c r="G138" s="632"/>
      <c r="H138" s="632"/>
      <c r="I138" s="632"/>
      <c r="J138" s="632"/>
      <c r="K138" s="632"/>
      <c r="L138" s="632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18"/>
    </row>
    <row r="139" spans="1:26" ht="12" customHeight="1" x14ac:dyDescent="0.35">
      <c r="A139" s="118"/>
      <c r="B139" s="632"/>
      <c r="C139" s="632"/>
      <c r="D139" s="632"/>
      <c r="E139" s="632"/>
      <c r="F139" s="632"/>
      <c r="G139" s="632"/>
      <c r="H139" s="632"/>
      <c r="I139" s="632"/>
      <c r="J139" s="632"/>
      <c r="K139" s="632"/>
      <c r="L139" s="632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18"/>
    </row>
    <row r="140" spans="1:26" ht="12" customHeight="1" x14ac:dyDescent="0.35">
      <c r="A140" s="118"/>
      <c r="B140" s="632"/>
      <c r="C140" s="632"/>
      <c r="D140" s="632"/>
      <c r="E140" s="632"/>
      <c r="F140" s="632"/>
      <c r="G140" s="632"/>
      <c r="H140" s="632"/>
      <c r="I140" s="632"/>
      <c r="J140" s="632"/>
      <c r="K140" s="632"/>
      <c r="L140" s="632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18"/>
    </row>
    <row r="141" spans="1:26" ht="12" customHeight="1" x14ac:dyDescent="0.35">
      <c r="A141" s="118"/>
      <c r="B141" s="632"/>
      <c r="C141" s="632"/>
      <c r="D141" s="632"/>
      <c r="E141" s="632"/>
      <c r="F141" s="632"/>
      <c r="G141" s="632"/>
      <c r="H141" s="632"/>
      <c r="I141" s="632"/>
      <c r="J141" s="632"/>
      <c r="K141" s="632"/>
      <c r="L141" s="632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18"/>
    </row>
    <row r="142" spans="1:26" ht="12" customHeight="1" x14ac:dyDescent="0.35">
      <c r="A142" s="118"/>
      <c r="B142" s="632"/>
      <c r="C142" s="632"/>
      <c r="D142" s="632"/>
      <c r="E142" s="632"/>
      <c r="F142" s="632"/>
      <c r="G142" s="632"/>
      <c r="H142" s="632"/>
      <c r="I142" s="632"/>
      <c r="J142" s="632"/>
      <c r="K142" s="632"/>
      <c r="L142" s="632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18"/>
    </row>
    <row r="143" spans="1:26" ht="12" customHeight="1" x14ac:dyDescent="0.35">
      <c r="A143" s="118"/>
      <c r="B143" s="632"/>
      <c r="C143" s="632"/>
      <c r="D143" s="632"/>
      <c r="E143" s="632"/>
      <c r="F143" s="632"/>
      <c r="G143" s="632"/>
      <c r="H143" s="632"/>
      <c r="I143" s="632"/>
      <c r="J143" s="632"/>
      <c r="K143" s="632"/>
      <c r="L143" s="632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18"/>
    </row>
    <row r="144" spans="1:26" ht="12" customHeight="1" x14ac:dyDescent="0.35">
      <c r="A144" s="118"/>
      <c r="B144" s="632"/>
      <c r="C144" s="632"/>
      <c r="D144" s="632"/>
      <c r="E144" s="632"/>
      <c r="F144" s="632"/>
      <c r="G144" s="632"/>
      <c r="H144" s="632"/>
      <c r="I144" s="632"/>
      <c r="J144" s="632"/>
      <c r="K144" s="632"/>
      <c r="L144" s="632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18"/>
    </row>
    <row r="145" spans="1:26" ht="12" customHeight="1" x14ac:dyDescent="0.35">
      <c r="A145" s="118"/>
      <c r="B145" s="632"/>
      <c r="C145" s="632"/>
      <c r="D145" s="632"/>
      <c r="E145" s="632"/>
      <c r="F145" s="632"/>
      <c r="G145" s="632"/>
      <c r="H145" s="632"/>
      <c r="I145" s="632"/>
      <c r="J145" s="632"/>
      <c r="K145" s="632"/>
      <c r="L145" s="632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18"/>
    </row>
    <row r="146" spans="1:26" ht="12" customHeight="1" x14ac:dyDescent="0.35">
      <c r="A146" s="118"/>
      <c r="B146" s="632"/>
      <c r="C146" s="632"/>
      <c r="D146" s="632"/>
      <c r="E146" s="632"/>
      <c r="F146" s="632"/>
      <c r="G146" s="632"/>
      <c r="H146" s="632"/>
      <c r="I146" s="632"/>
      <c r="J146" s="632"/>
      <c r="K146" s="632"/>
      <c r="L146" s="632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18"/>
    </row>
    <row r="147" spans="1:26" ht="12" customHeight="1" x14ac:dyDescent="0.35">
      <c r="A147" s="118"/>
      <c r="B147" s="632"/>
      <c r="C147" s="632"/>
      <c r="D147" s="632"/>
      <c r="E147" s="632"/>
      <c r="F147" s="632"/>
      <c r="G147" s="632"/>
      <c r="H147" s="632"/>
      <c r="I147" s="632"/>
      <c r="J147" s="632"/>
      <c r="K147" s="632"/>
      <c r="L147" s="632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18"/>
    </row>
    <row r="148" spans="1:26" ht="12" customHeight="1" x14ac:dyDescent="0.35">
      <c r="A148" s="118"/>
      <c r="B148" s="632"/>
      <c r="C148" s="632"/>
      <c r="D148" s="632"/>
      <c r="E148" s="632"/>
      <c r="F148" s="632"/>
      <c r="G148" s="632"/>
      <c r="H148" s="632"/>
      <c r="I148" s="632"/>
      <c r="J148" s="632"/>
      <c r="K148" s="632"/>
      <c r="L148" s="632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18"/>
    </row>
    <row r="149" spans="1:26" ht="12" customHeight="1" x14ac:dyDescent="0.35">
      <c r="A149" s="118"/>
      <c r="B149" s="632"/>
      <c r="C149" s="632"/>
      <c r="D149" s="632"/>
      <c r="E149" s="632"/>
      <c r="F149" s="632"/>
      <c r="G149" s="632"/>
      <c r="H149" s="632"/>
      <c r="I149" s="632"/>
      <c r="J149" s="632"/>
      <c r="K149" s="632"/>
      <c r="L149" s="632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18"/>
    </row>
    <row r="150" spans="1:26" ht="12" customHeight="1" x14ac:dyDescent="0.35">
      <c r="A150" s="118"/>
      <c r="B150" s="632"/>
      <c r="C150" s="632"/>
      <c r="D150" s="632"/>
      <c r="E150" s="632"/>
      <c r="F150" s="632"/>
      <c r="G150" s="632"/>
      <c r="H150" s="632"/>
      <c r="I150" s="632"/>
      <c r="J150" s="632"/>
      <c r="K150" s="632"/>
      <c r="L150" s="632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18"/>
    </row>
    <row r="151" spans="1:26" ht="12" customHeight="1" x14ac:dyDescent="0.35">
      <c r="A151" s="118"/>
      <c r="B151" s="632"/>
      <c r="C151" s="632"/>
      <c r="D151" s="632"/>
      <c r="E151" s="632"/>
      <c r="F151" s="632"/>
      <c r="G151" s="632"/>
      <c r="H151" s="632"/>
      <c r="I151" s="632"/>
      <c r="J151" s="632"/>
      <c r="K151" s="632"/>
      <c r="L151" s="632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18"/>
    </row>
    <row r="152" spans="1:26" ht="12" customHeight="1" x14ac:dyDescent="0.35">
      <c r="A152" s="118"/>
      <c r="B152" s="632"/>
      <c r="C152" s="632"/>
      <c r="D152" s="632"/>
      <c r="E152" s="632"/>
      <c r="F152" s="632"/>
      <c r="G152" s="632"/>
      <c r="H152" s="632"/>
      <c r="I152" s="632"/>
      <c r="J152" s="632"/>
      <c r="K152" s="632"/>
      <c r="L152" s="632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18"/>
    </row>
    <row r="153" spans="1:26" ht="12" customHeight="1" x14ac:dyDescent="0.35">
      <c r="A153" s="118"/>
      <c r="B153" s="632"/>
      <c r="C153" s="632"/>
      <c r="D153" s="632"/>
      <c r="E153" s="632"/>
      <c r="F153" s="632"/>
      <c r="G153" s="632"/>
      <c r="H153" s="632"/>
      <c r="I153" s="632"/>
      <c r="J153" s="632"/>
      <c r="K153" s="632"/>
      <c r="L153" s="632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18"/>
    </row>
    <row r="154" spans="1:26" ht="12" customHeight="1" x14ac:dyDescent="0.35">
      <c r="A154" s="118"/>
      <c r="B154" s="632"/>
      <c r="C154" s="632"/>
      <c r="D154" s="632"/>
      <c r="E154" s="632"/>
      <c r="F154" s="632"/>
      <c r="G154" s="632"/>
      <c r="H154" s="632"/>
      <c r="I154" s="632"/>
      <c r="J154" s="632"/>
      <c r="K154" s="632"/>
      <c r="L154" s="632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18"/>
    </row>
    <row r="155" spans="1:26" ht="12" customHeight="1" x14ac:dyDescent="0.35">
      <c r="A155" s="118"/>
      <c r="B155" s="632"/>
      <c r="C155" s="632"/>
      <c r="D155" s="632"/>
      <c r="E155" s="632"/>
      <c r="F155" s="632"/>
      <c r="G155" s="632"/>
      <c r="H155" s="632"/>
      <c r="I155" s="632"/>
      <c r="J155" s="632"/>
      <c r="K155" s="632"/>
      <c r="L155" s="632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18"/>
    </row>
    <row r="156" spans="1:26" ht="12" customHeight="1" x14ac:dyDescent="0.35">
      <c r="A156" s="118"/>
      <c r="B156" s="632"/>
      <c r="C156" s="632"/>
      <c r="D156" s="632"/>
      <c r="E156" s="632"/>
      <c r="F156" s="632"/>
      <c r="G156" s="632"/>
      <c r="H156" s="632"/>
      <c r="I156" s="632"/>
      <c r="J156" s="632"/>
      <c r="K156" s="632"/>
      <c r="L156" s="632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18"/>
    </row>
    <row r="157" spans="1:26" ht="12" customHeight="1" x14ac:dyDescent="0.35">
      <c r="A157" s="118"/>
      <c r="B157" s="632"/>
      <c r="C157" s="632"/>
      <c r="D157" s="632"/>
      <c r="E157" s="632"/>
      <c r="F157" s="632"/>
      <c r="G157" s="632"/>
      <c r="H157" s="632"/>
      <c r="I157" s="632"/>
      <c r="J157" s="632"/>
      <c r="K157" s="632"/>
      <c r="L157" s="632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18"/>
    </row>
    <row r="158" spans="1:26" ht="12" customHeight="1" x14ac:dyDescent="0.35">
      <c r="A158" s="118"/>
      <c r="B158" s="632"/>
      <c r="C158" s="632"/>
      <c r="D158" s="632"/>
      <c r="E158" s="632"/>
      <c r="F158" s="632"/>
      <c r="G158" s="632"/>
      <c r="H158" s="632"/>
      <c r="I158" s="632"/>
      <c r="J158" s="632"/>
      <c r="K158" s="632"/>
      <c r="L158" s="632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18"/>
    </row>
    <row r="159" spans="1:26" ht="12" customHeight="1" x14ac:dyDescent="0.35">
      <c r="A159" s="118"/>
      <c r="B159" s="632"/>
      <c r="C159" s="632"/>
      <c r="D159" s="632"/>
      <c r="E159" s="632"/>
      <c r="F159" s="632"/>
      <c r="G159" s="632"/>
      <c r="H159" s="632"/>
      <c r="I159" s="632"/>
      <c r="J159" s="632"/>
      <c r="K159" s="632"/>
      <c r="L159" s="632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18"/>
    </row>
    <row r="160" spans="1:26" ht="12" customHeight="1" x14ac:dyDescent="0.35">
      <c r="A160" s="118"/>
      <c r="B160" s="632"/>
      <c r="C160" s="632"/>
      <c r="D160" s="632"/>
      <c r="E160" s="632"/>
      <c r="F160" s="632"/>
      <c r="G160" s="632"/>
      <c r="H160" s="632"/>
      <c r="I160" s="632"/>
      <c r="J160" s="632"/>
      <c r="K160" s="632"/>
      <c r="L160" s="632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18"/>
    </row>
    <row r="161" spans="1:26" ht="12" customHeight="1" x14ac:dyDescent="0.35">
      <c r="A161" s="118"/>
      <c r="B161" s="632"/>
      <c r="C161" s="632"/>
      <c r="D161" s="632"/>
      <c r="E161" s="632"/>
      <c r="F161" s="632"/>
      <c r="G161" s="632"/>
      <c r="H161" s="632"/>
      <c r="I161" s="632"/>
      <c r="J161" s="632"/>
      <c r="K161" s="632"/>
      <c r="L161" s="632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18"/>
    </row>
    <row r="162" spans="1:26" ht="12" customHeight="1" x14ac:dyDescent="0.35">
      <c r="A162" s="118"/>
      <c r="B162" s="632"/>
      <c r="C162" s="632"/>
      <c r="D162" s="632"/>
      <c r="E162" s="632"/>
      <c r="F162" s="632"/>
      <c r="G162" s="632"/>
      <c r="H162" s="632"/>
      <c r="I162" s="632"/>
      <c r="J162" s="632"/>
      <c r="K162" s="632"/>
      <c r="L162" s="632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18"/>
    </row>
    <row r="163" spans="1:26" ht="12" customHeight="1" x14ac:dyDescent="0.35">
      <c r="A163" s="118"/>
      <c r="B163" s="632"/>
      <c r="C163" s="632"/>
      <c r="D163" s="632"/>
      <c r="E163" s="632"/>
      <c r="F163" s="632"/>
      <c r="G163" s="632"/>
      <c r="H163" s="632"/>
      <c r="I163" s="632"/>
      <c r="J163" s="632"/>
      <c r="K163" s="632"/>
      <c r="L163" s="632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18"/>
    </row>
    <row r="164" spans="1:26" ht="12" customHeight="1" x14ac:dyDescent="0.35">
      <c r="A164" s="118"/>
      <c r="B164" s="632"/>
      <c r="C164" s="632"/>
      <c r="D164" s="632"/>
      <c r="E164" s="632"/>
      <c r="F164" s="632"/>
      <c r="G164" s="632"/>
      <c r="H164" s="632"/>
      <c r="I164" s="632"/>
      <c r="J164" s="632"/>
      <c r="K164" s="632"/>
      <c r="L164" s="632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18"/>
    </row>
    <row r="165" spans="1:26" ht="12" customHeight="1" x14ac:dyDescent="0.35">
      <c r="A165" s="118"/>
      <c r="B165" s="632"/>
      <c r="C165" s="632"/>
      <c r="D165" s="632"/>
      <c r="E165" s="632"/>
      <c r="F165" s="632"/>
      <c r="G165" s="632"/>
      <c r="H165" s="632"/>
      <c r="I165" s="632"/>
      <c r="J165" s="632"/>
      <c r="K165" s="632"/>
      <c r="L165" s="632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18"/>
    </row>
    <row r="166" spans="1:26" ht="12" customHeight="1" x14ac:dyDescent="0.35">
      <c r="A166" s="118"/>
      <c r="B166" s="632"/>
      <c r="C166" s="632"/>
      <c r="D166" s="632"/>
      <c r="E166" s="632"/>
      <c r="F166" s="632"/>
      <c r="G166" s="632"/>
      <c r="H166" s="632"/>
      <c r="I166" s="632"/>
      <c r="J166" s="632"/>
      <c r="K166" s="632"/>
      <c r="L166" s="632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18"/>
    </row>
    <row r="167" spans="1:26" ht="12" customHeight="1" x14ac:dyDescent="0.35">
      <c r="A167" s="118"/>
      <c r="B167" s="632"/>
      <c r="C167" s="632"/>
      <c r="D167" s="632"/>
      <c r="E167" s="632"/>
      <c r="F167" s="632"/>
      <c r="G167" s="632"/>
      <c r="H167" s="632"/>
      <c r="I167" s="632"/>
      <c r="J167" s="632"/>
      <c r="K167" s="632"/>
      <c r="L167" s="632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18"/>
    </row>
    <row r="168" spans="1:26" ht="12" customHeight="1" x14ac:dyDescent="0.35">
      <c r="A168" s="118"/>
      <c r="B168" s="632"/>
      <c r="C168" s="632"/>
      <c r="D168" s="632"/>
      <c r="E168" s="632"/>
      <c r="F168" s="632"/>
      <c r="G168" s="632"/>
      <c r="H168" s="632"/>
      <c r="I168" s="632"/>
      <c r="J168" s="632"/>
      <c r="K168" s="632"/>
      <c r="L168" s="632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18"/>
    </row>
    <row r="169" spans="1:26" ht="12" customHeight="1" x14ac:dyDescent="0.35">
      <c r="A169" s="118"/>
      <c r="B169" s="632"/>
      <c r="C169" s="632"/>
      <c r="D169" s="632"/>
      <c r="E169" s="632"/>
      <c r="F169" s="632"/>
      <c r="G169" s="632"/>
      <c r="H169" s="632"/>
      <c r="I169" s="632"/>
      <c r="J169" s="632"/>
      <c r="K169" s="632"/>
      <c r="L169" s="632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18"/>
    </row>
    <row r="170" spans="1:26" ht="12" customHeight="1" x14ac:dyDescent="0.35">
      <c r="A170" s="118"/>
      <c r="B170" s="632"/>
      <c r="C170" s="632"/>
      <c r="D170" s="632"/>
      <c r="E170" s="632"/>
      <c r="F170" s="632"/>
      <c r="G170" s="632"/>
      <c r="H170" s="632"/>
      <c r="I170" s="632"/>
      <c r="J170" s="632"/>
      <c r="K170" s="632"/>
      <c r="L170" s="632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18"/>
    </row>
    <row r="171" spans="1:26" ht="12" customHeight="1" x14ac:dyDescent="0.35">
      <c r="A171" s="118"/>
      <c r="B171" s="632"/>
      <c r="C171" s="632"/>
      <c r="D171" s="632"/>
      <c r="E171" s="632"/>
      <c r="F171" s="632"/>
      <c r="G171" s="632"/>
      <c r="H171" s="632"/>
      <c r="I171" s="632"/>
      <c r="J171" s="632"/>
      <c r="K171" s="632"/>
      <c r="L171" s="632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18"/>
    </row>
    <row r="172" spans="1:26" ht="12" customHeight="1" x14ac:dyDescent="0.35">
      <c r="A172" s="118"/>
      <c r="B172" s="632"/>
      <c r="C172" s="632"/>
      <c r="D172" s="632"/>
      <c r="E172" s="632"/>
      <c r="F172" s="632"/>
      <c r="G172" s="632"/>
      <c r="H172" s="632"/>
      <c r="I172" s="632"/>
      <c r="J172" s="632"/>
      <c r="K172" s="632"/>
      <c r="L172" s="632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18"/>
    </row>
    <row r="173" spans="1:26" ht="12" customHeight="1" x14ac:dyDescent="0.35">
      <c r="A173" s="118"/>
      <c r="B173" s="632"/>
      <c r="C173" s="632"/>
      <c r="D173" s="632"/>
      <c r="E173" s="632"/>
      <c r="F173" s="632"/>
      <c r="G173" s="632"/>
      <c r="H173" s="632"/>
      <c r="I173" s="632"/>
      <c r="J173" s="632"/>
      <c r="K173" s="632"/>
      <c r="L173" s="632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18"/>
    </row>
    <row r="174" spans="1:26" ht="12" customHeight="1" x14ac:dyDescent="0.35">
      <c r="A174" s="118"/>
      <c r="B174" s="632"/>
      <c r="C174" s="632"/>
      <c r="D174" s="632"/>
      <c r="E174" s="632"/>
      <c r="F174" s="632"/>
      <c r="G174" s="632"/>
      <c r="H174" s="632"/>
      <c r="I174" s="632"/>
      <c r="J174" s="632"/>
      <c r="K174" s="632"/>
      <c r="L174" s="632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18"/>
    </row>
    <row r="175" spans="1:26" ht="12" customHeight="1" x14ac:dyDescent="0.35">
      <c r="A175" s="118"/>
      <c r="B175" s="632"/>
      <c r="C175" s="632"/>
      <c r="D175" s="632"/>
      <c r="E175" s="632"/>
      <c r="F175" s="632"/>
      <c r="G175" s="632"/>
      <c r="H175" s="632"/>
      <c r="I175" s="632"/>
      <c r="J175" s="632"/>
      <c r="K175" s="632"/>
      <c r="L175" s="632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18"/>
    </row>
    <row r="176" spans="1:26" ht="12" customHeight="1" x14ac:dyDescent="0.35">
      <c r="A176" s="118"/>
      <c r="B176" s="632"/>
      <c r="C176" s="632"/>
      <c r="D176" s="632"/>
      <c r="E176" s="632"/>
      <c r="F176" s="632"/>
      <c r="G176" s="632"/>
      <c r="H176" s="632"/>
      <c r="I176" s="632"/>
      <c r="J176" s="632"/>
      <c r="K176" s="632"/>
      <c r="L176" s="632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18"/>
    </row>
    <row r="177" spans="1:26" ht="12" customHeight="1" x14ac:dyDescent="0.35">
      <c r="A177" s="118"/>
      <c r="B177" s="632"/>
      <c r="C177" s="632"/>
      <c r="D177" s="632"/>
      <c r="E177" s="632"/>
      <c r="F177" s="632"/>
      <c r="G177" s="632"/>
      <c r="H177" s="632"/>
      <c r="I177" s="632"/>
      <c r="J177" s="632"/>
      <c r="K177" s="632"/>
      <c r="L177" s="632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18"/>
    </row>
    <row r="178" spans="1:26" ht="12" customHeight="1" x14ac:dyDescent="0.35">
      <c r="A178" s="118"/>
      <c r="B178" s="632"/>
      <c r="C178" s="632"/>
      <c r="D178" s="632"/>
      <c r="E178" s="632"/>
      <c r="F178" s="632"/>
      <c r="G178" s="632"/>
      <c r="H178" s="632"/>
      <c r="I178" s="632"/>
      <c r="J178" s="632"/>
      <c r="K178" s="632"/>
      <c r="L178" s="632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18"/>
    </row>
    <row r="179" spans="1:26" ht="12" customHeight="1" x14ac:dyDescent="0.35">
      <c r="A179" s="118"/>
      <c r="B179" s="632"/>
      <c r="C179" s="632"/>
      <c r="D179" s="632"/>
      <c r="E179" s="632"/>
      <c r="F179" s="632"/>
      <c r="G179" s="632"/>
      <c r="H179" s="632"/>
      <c r="I179" s="632"/>
      <c r="J179" s="632"/>
      <c r="K179" s="632"/>
      <c r="L179" s="632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18"/>
    </row>
    <row r="180" spans="1:26" ht="12" customHeight="1" x14ac:dyDescent="0.35">
      <c r="A180" s="118"/>
      <c r="B180" s="632"/>
      <c r="C180" s="632"/>
      <c r="D180" s="632"/>
      <c r="E180" s="632"/>
      <c r="F180" s="632"/>
      <c r="G180" s="632"/>
      <c r="H180" s="632"/>
      <c r="I180" s="632"/>
      <c r="J180" s="632"/>
      <c r="K180" s="632"/>
      <c r="L180" s="632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18"/>
    </row>
    <row r="181" spans="1:26" ht="12" customHeight="1" x14ac:dyDescent="0.35">
      <c r="A181" s="118"/>
      <c r="B181" s="632"/>
      <c r="C181" s="632"/>
      <c r="D181" s="632"/>
      <c r="E181" s="632"/>
      <c r="F181" s="632"/>
      <c r="G181" s="632"/>
      <c r="H181" s="632"/>
      <c r="I181" s="632"/>
      <c r="J181" s="632"/>
      <c r="K181" s="632"/>
      <c r="L181" s="632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18"/>
    </row>
    <row r="182" spans="1:26" ht="12" customHeight="1" x14ac:dyDescent="0.35">
      <c r="A182" s="118"/>
      <c r="B182" s="632"/>
      <c r="C182" s="632"/>
      <c r="D182" s="632"/>
      <c r="E182" s="632"/>
      <c r="F182" s="632"/>
      <c r="G182" s="632"/>
      <c r="H182" s="632"/>
      <c r="I182" s="632"/>
      <c r="J182" s="632"/>
      <c r="K182" s="632"/>
      <c r="L182" s="632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18"/>
    </row>
    <row r="183" spans="1:26" ht="12" customHeight="1" x14ac:dyDescent="0.35">
      <c r="A183" s="118"/>
      <c r="B183" s="632"/>
      <c r="C183" s="632"/>
      <c r="D183" s="632"/>
      <c r="E183" s="632"/>
      <c r="F183" s="632"/>
      <c r="G183" s="632"/>
      <c r="H183" s="632"/>
      <c r="I183" s="632"/>
      <c r="J183" s="632"/>
      <c r="K183" s="632"/>
      <c r="L183" s="632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18"/>
    </row>
    <row r="184" spans="1:26" ht="12" customHeight="1" x14ac:dyDescent="0.35">
      <c r="A184" s="118"/>
      <c r="B184" s="632"/>
      <c r="C184" s="632"/>
      <c r="D184" s="632"/>
      <c r="E184" s="632"/>
      <c r="F184" s="632"/>
      <c r="G184" s="632"/>
      <c r="H184" s="632"/>
      <c r="I184" s="632"/>
      <c r="J184" s="632"/>
      <c r="K184" s="632"/>
      <c r="L184" s="632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18"/>
    </row>
    <row r="185" spans="1:26" ht="12" customHeight="1" x14ac:dyDescent="0.35">
      <c r="A185" s="118"/>
      <c r="B185" s="632"/>
      <c r="C185" s="632"/>
      <c r="D185" s="632"/>
      <c r="E185" s="632"/>
      <c r="F185" s="632"/>
      <c r="G185" s="632"/>
      <c r="H185" s="632"/>
      <c r="I185" s="632"/>
      <c r="J185" s="632"/>
      <c r="K185" s="632"/>
      <c r="L185" s="632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18"/>
    </row>
    <row r="186" spans="1:26" ht="12" customHeight="1" x14ac:dyDescent="0.35">
      <c r="A186" s="118"/>
      <c r="B186" s="632"/>
      <c r="C186" s="632"/>
      <c r="D186" s="632"/>
      <c r="E186" s="632"/>
      <c r="F186" s="632"/>
      <c r="G186" s="632"/>
      <c r="H186" s="632"/>
      <c r="I186" s="632"/>
      <c r="J186" s="632"/>
      <c r="K186" s="632"/>
      <c r="L186" s="632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18"/>
    </row>
    <row r="187" spans="1:26" ht="12" customHeight="1" x14ac:dyDescent="0.35">
      <c r="A187" s="118"/>
      <c r="B187" s="632"/>
      <c r="C187" s="632"/>
      <c r="D187" s="632"/>
      <c r="E187" s="632"/>
      <c r="F187" s="632"/>
      <c r="G187" s="632"/>
      <c r="H187" s="632"/>
      <c r="I187" s="632"/>
      <c r="J187" s="632"/>
      <c r="K187" s="632"/>
      <c r="L187" s="632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18"/>
    </row>
    <row r="188" spans="1:26" ht="12" customHeight="1" x14ac:dyDescent="0.35">
      <c r="A188" s="118"/>
      <c r="B188" s="632"/>
      <c r="C188" s="632"/>
      <c r="D188" s="632"/>
      <c r="E188" s="632"/>
      <c r="F188" s="632"/>
      <c r="G188" s="632"/>
      <c r="H188" s="632"/>
      <c r="I188" s="632"/>
      <c r="J188" s="632"/>
      <c r="K188" s="632"/>
      <c r="L188" s="632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18"/>
    </row>
    <row r="189" spans="1:26" ht="12" customHeight="1" x14ac:dyDescent="0.35">
      <c r="A189" s="118"/>
      <c r="B189" s="632"/>
      <c r="C189" s="632"/>
      <c r="D189" s="632"/>
      <c r="E189" s="632"/>
      <c r="F189" s="632"/>
      <c r="G189" s="632"/>
      <c r="H189" s="632"/>
      <c r="I189" s="632"/>
      <c r="J189" s="632"/>
      <c r="K189" s="632"/>
      <c r="L189" s="632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18"/>
    </row>
    <row r="190" spans="1:26" ht="12" customHeight="1" x14ac:dyDescent="0.35">
      <c r="A190" s="118"/>
      <c r="B190" s="632"/>
      <c r="C190" s="632"/>
      <c r="D190" s="632"/>
      <c r="E190" s="632"/>
      <c r="F190" s="632"/>
      <c r="G190" s="632"/>
      <c r="H190" s="632"/>
      <c r="I190" s="632"/>
      <c r="J190" s="632"/>
      <c r="K190" s="632"/>
      <c r="L190" s="632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18"/>
    </row>
    <row r="191" spans="1:26" ht="12" customHeight="1" x14ac:dyDescent="0.35">
      <c r="A191" s="118"/>
      <c r="B191" s="632"/>
      <c r="C191" s="632"/>
      <c r="D191" s="632"/>
      <c r="E191" s="632"/>
      <c r="F191" s="632"/>
      <c r="G191" s="632"/>
      <c r="H191" s="632"/>
      <c r="I191" s="632"/>
      <c r="J191" s="632"/>
      <c r="K191" s="632"/>
      <c r="L191" s="632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18"/>
    </row>
    <row r="192" spans="1:26" ht="12" customHeight="1" x14ac:dyDescent="0.35">
      <c r="A192" s="118"/>
      <c r="B192" s="632"/>
      <c r="C192" s="632"/>
      <c r="D192" s="632"/>
      <c r="E192" s="632"/>
      <c r="F192" s="632"/>
      <c r="G192" s="632"/>
      <c r="H192" s="632"/>
      <c r="I192" s="632"/>
      <c r="J192" s="632"/>
      <c r="K192" s="632"/>
      <c r="L192" s="632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18"/>
    </row>
    <row r="193" spans="1:26" ht="12" customHeight="1" x14ac:dyDescent="0.35">
      <c r="A193" s="118"/>
      <c r="B193" s="632"/>
      <c r="C193" s="632"/>
      <c r="D193" s="632"/>
      <c r="E193" s="632"/>
      <c r="F193" s="632"/>
      <c r="G193" s="632"/>
      <c r="H193" s="632"/>
      <c r="I193" s="632"/>
      <c r="J193" s="632"/>
      <c r="K193" s="632"/>
      <c r="L193" s="632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18"/>
    </row>
    <row r="194" spans="1:26" ht="12" customHeight="1" x14ac:dyDescent="0.35">
      <c r="A194" s="118"/>
      <c r="B194" s="632"/>
      <c r="C194" s="632"/>
      <c r="D194" s="632"/>
      <c r="E194" s="632"/>
      <c r="F194" s="632"/>
      <c r="G194" s="632"/>
      <c r="H194" s="632"/>
      <c r="I194" s="632"/>
      <c r="J194" s="632"/>
      <c r="K194" s="632"/>
      <c r="L194" s="632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18"/>
    </row>
    <row r="195" spans="1:26" ht="12" customHeight="1" x14ac:dyDescent="0.35">
      <c r="A195" s="118"/>
      <c r="B195" s="632"/>
      <c r="C195" s="632"/>
      <c r="D195" s="632"/>
      <c r="E195" s="632"/>
      <c r="F195" s="632"/>
      <c r="G195" s="632"/>
      <c r="H195" s="632"/>
      <c r="I195" s="632"/>
      <c r="J195" s="632"/>
      <c r="K195" s="632"/>
      <c r="L195" s="632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18"/>
    </row>
    <row r="196" spans="1:26" ht="12" customHeight="1" x14ac:dyDescent="0.35">
      <c r="A196" s="118"/>
      <c r="B196" s="632"/>
      <c r="C196" s="632"/>
      <c r="D196" s="632"/>
      <c r="E196" s="632"/>
      <c r="F196" s="632"/>
      <c r="G196" s="632"/>
      <c r="H196" s="632"/>
      <c r="I196" s="632"/>
      <c r="J196" s="632"/>
      <c r="K196" s="632"/>
      <c r="L196" s="632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18"/>
    </row>
    <row r="197" spans="1:26" ht="12" customHeight="1" x14ac:dyDescent="0.35">
      <c r="A197" s="118"/>
      <c r="B197" s="632"/>
      <c r="C197" s="632"/>
      <c r="D197" s="632"/>
      <c r="E197" s="632"/>
      <c r="F197" s="632"/>
      <c r="G197" s="632"/>
      <c r="H197" s="632"/>
      <c r="I197" s="632"/>
      <c r="J197" s="632"/>
      <c r="K197" s="632"/>
      <c r="L197" s="632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18"/>
    </row>
    <row r="198" spans="1:26" ht="12" customHeight="1" x14ac:dyDescent="0.35">
      <c r="A198" s="118"/>
      <c r="B198" s="632"/>
      <c r="C198" s="632"/>
      <c r="D198" s="632"/>
      <c r="E198" s="632"/>
      <c r="F198" s="632"/>
      <c r="G198" s="632"/>
      <c r="H198" s="632"/>
      <c r="I198" s="632"/>
      <c r="J198" s="632"/>
      <c r="K198" s="632"/>
      <c r="L198" s="632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18"/>
    </row>
    <row r="199" spans="1:26" ht="12" customHeight="1" x14ac:dyDescent="0.35">
      <c r="A199" s="118"/>
      <c r="B199" s="632"/>
      <c r="C199" s="632"/>
      <c r="D199" s="632"/>
      <c r="E199" s="632"/>
      <c r="F199" s="632"/>
      <c r="G199" s="632"/>
      <c r="H199" s="632"/>
      <c r="I199" s="632"/>
      <c r="J199" s="632"/>
      <c r="K199" s="632"/>
      <c r="L199" s="632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18"/>
    </row>
    <row r="200" spans="1:26" ht="12" customHeight="1" x14ac:dyDescent="0.35">
      <c r="A200" s="118"/>
      <c r="B200" s="632"/>
      <c r="C200" s="632"/>
      <c r="D200" s="632"/>
      <c r="E200" s="632"/>
      <c r="F200" s="632"/>
      <c r="G200" s="632"/>
      <c r="H200" s="632"/>
      <c r="I200" s="632"/>
      <c r="J200" s="632"/>
      <c r="K200" s="632"/>
      <c r="L200" s="632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18"/>
    </row>
    <row r="201" spans="1:26" ht="12" customHeight="1" x14ac:dyDescent="0.35">
      <c r="A201" s="118"/>
      <c r="B201" s="632"/>
      <c r="C201" s="632"/>
      <c r="D201" s="632"/>
      <c r="E201" s="632"/>
      <c r="F201" s="632"/>
      <c r="G201" s="632"/>
      <c r="H201" s="632"/>
      <c r="I201" s="632"/>
      <c r="J201" s="632"/>
      <c r="K201" s="632"/>
      <c r="L201" s="632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18"/>
    </row>
    <row r="202" spans="1:26" ht="12" customHeight="1" x14ac:dyDescent="0.35">
      <c r="A202" s="118"/>
      <c r="B202" s="632"/>
      <c r="C202" s="632"/>
      <c r="D202" s="632"/>
      <c r="E202" s="632"/>
      <c r="F202" s="632"/>
      <c r="G202" s="632"/>
      <c r="H202" s="632"/>
      <c r="I202" s="632"/>
      <c r="J202" s="632"/>
      <c r="K202" s="632"/>
      <c r="L202" s="632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18"/>
    </row>
    <row r="203" spans="1:26" ht="12" customHeight="1" x14ac:dyDescent="0.35">
      <c r="A203" s="118"/>
      <c r="B203" s="632"/>
      <c r="C203" s="632"/>
      <c r="D203" s="632"/>
      <c r="E203" s="632"/>
      <c r="F203" s="632"/>
      <c r="G203" s="632"/>
      <c r="H203" s="632"/>
      <c r="I203" s="632"/>
      <c r="J203" s="632"/>
      <c r="K203" s="632"/>
      <c r="L203" s="632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18"/>
    </row>
    <row r="204" spans="1:26" ht="12" customHeight="1" x14ac:dyDescent="0.35">
      <c r="A204" s="118"/>
      <c r="B204" s="632"/>
      <c r="C204" s="632"/>
      <c r="D204" s="632"/>
      <c r="E204" s="632"/>
      <c r="F204" s="632"/>
      <c r="G204" s="632"/>
      <c r="H204" s="632"/>
      <c r="I204" s="632"/>
      <c r="J204" s="632"/>
      <c r="K204" s="632"/>
      <c r="L204" s="632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18"/>
    </row>
    <row r="205" spans="1:26" ht="12" customHeight="1" x14ac:dyDescent="0.35">
      <c r="A205" s="118"/>
      <c r="B205" s="632"/>
      <c r="C205" s="632"/>
      <c r="D205" s="632"/>
      <c r="E205" s="632"/>
      <c r="F205" s="632"/>
      <c r="G205" s="632"/>
      <c r="H205" s="632"/>
      <c r="I205" s="632"/>
      <c r="J205" s="632"/>
      <c r="K205" s="632"/>
      <c r="L205" s="632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18"/>
    </row>
    <row r="206" spans="1:26" ht="12" customHeight="1" x14ac:dyDescent="0.35">
      <c r="A206" s="118"/>
      <c r="B206" s="632"/>
      <c r="C206" s="632"/>
      <c r="D206" s="632"/>
      <c r="E206" s="632"/>
      <c r="F206" s="632"/>
      <c r="G206" s="632"/>
      <c r="H206" s="632"/>
      <c r="I206" s="632"/>
      <c r="J206" s="632"/>
      <c r="K206" s="632"/>
      <c r="L206" s="632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18"/>
    </row>
    <row r="207" spans="1:26" ht="12" customHeight="1" x14ac:dyDescent="0.35">
      <c r="A207" s="118"/>
      <c r="B207" s="632"/>
      <c r="C207" s="632"/>
      <c r="D207" s="632"/>
      <c r="E207" s="632"/>
      <c r="F207" s="632"/>
      <c r="G207" s="632"/>
      <c r="H207" s="632"/>
      <c r="I207" s="632"/>
      <c r="J207" s="632"/>
      <c r="K207" s="632"/>
      <c r="L207" s="632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18"/>
    </row>
    <row r="208" spans="1:26" ht="12" customHeight="1" x14ac:dyDescent="0.35">
      <c r="A208" s="118"/>
      <c r="B208" s="632"/>
      <c r="C208" s="632"/>
      <c r="D208" s="632"/>
      <c r="E208" s="632"/>
      <c r="F208" s="632"/>
      <c r="G208" s="632"/>
      <c r="H208" s="632"/>
      <c r="I208" s="632"/>
      <c r="J208" s="632"/>
      <c r="K208" s="632"/>
      <c r="L208" s="632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18"/>
    </row>
    <row r="209" spans="1:26" ht="12" customHeight="1" x14ac:dyDescent="0.35">
      <c r="A209" s="118"/>
      <c r="B209" s="632"/>
      <c r="C209" s="632"/>
      <c r="D209" s="632"/>
      <c r="E209" s="632"/>
      <c r="F209" s="632"/>
      <c r="G209" s="632"/>
      <c r="H209" s="632"/>
      <c r="I209" s="632"/>
      <c r="J209" s="632"/>
      <c r="K209" s="632"/>
      <c r="L209" s="632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18"/>
    </row>
    <row r="210" spans="1:26" ht="12" customHeight="1" x14ac:dyDescent="0.35">
      <c r="A210" s="118"/>
      <c r="B210" s="632"/>
      <c r="C210" s="632"/>
      <c r="D210" s="632"/>
      <c r="E210" s="632"/>
      <c r="F210" s="632"/>
      <c r="G210" s="632"/>
      <c r="H210" s="632"/>
      <c r="I210" s="632"/>
      <c r="J210" s="632"/>
      <c r="K210" s="632"/>
      <c r="L210" s="632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18"/>
    </row>
    <row r="211" spans="1:26" ht="12" customHeight="1" x14ac:dyDescent="0.35">
      <c r="A211" s="118"/>
      <c r="B211" s="632"/>
      <c r="C211" s="632"/>
      <c r="D211" s="632"/>
      <c r="E211" s="632"/>
      <c r="F211" s="632"/>
      <c r="G211" s="632"/>
      <c r="H211" s="632"/>
      <c r="I211" s="632"/>
      <c r="J211" s="632"/>
      <c r="K211" s="632"/>
      <c r="L211" s="632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18"/>
    </row>
    <row r="212" spans="1:26" ht="12" customHeight="1" x14ac:dyDescent="0.35">
      <c r="A212" s="118"/>
      <c r="B212" s="632"/>
      <c r="C212" s="632"/>
      <c r="D212" s="632"/>
      <c r="E212" s="632"/>
      <c r="F212" s="632"/>
      <c r="G212" s="632"/>
      <c r="H212" s="632"/>
      <c r="I212" s="632"/>
      <c r="J212" s="632"/>
      <c r="K212" s="632"/>
      <c r="L212" s="632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18"/>
    </row>
    <row r="213" spans="1:26" ht="12" customHeight="1" x14ac:dyDescent="0.35">
      <c r="A213" s="118"/>
      <c r="B213" s="632"/>
      <c r="C213" s="632"/>
      <c r="D213" s="632"/>
      <c r="E213" s="632"/>
      <c r="F213" s="632"/>
      <c r="G213" s="632"/>
      <c r="H213" s="632"/>
      <c r="I213" s="632"/>
      <c r="J213" s="632"/>
      <c r="K213" s="632"/>
      <c r="L213" s="632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18"/>
    </row>
    <row r="214" spans="1:26" ht="12" customHeight="1" x14ac:dyDescent="0.35">
      <c r="A214" s="118"/>
      <c r="B214" s="632"/>
      <c r="C214" s="632"/>
      <c r="D214" s="632"/>
      <c r="E214" s="632"/>
      <c r="F214" s="632"/>
      <c r="G214" s="632"/>
      <c r="H214" s="632"/>
      <c r="I214" s="632"/>
      <c r="J214" s="632"/>
      <c r="K214" s="632"/>
      <c r="L214" s="632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18"/>
    </row>
    <row r="215" spans="1:26" ht="12" customHeight="1" x14ac:dyDescent="0.35">
      <c r="A215" s="118"/>
      <c r="B215" s="632"/>
      <c r="C215" s="632"/>
      <c r="D215" s="632"/>
      <c r="E215" s="632"/>
      <c r="F215" s="632"/>
      <c r="G215" s="632"/>
      <c r="H215" s="632"/>
      <c r="I215" s="632"/>
      <c r="J215" s="632"/>
      <c r="K215" s="632"/>
      <c r="L215" s="632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18"/>
    </row>
    <row r="216" spans="1:26" ht="12" customHeight="1" x14ac:dyDescent="0.35">
      <c r="A216" s="118"/>
      <c r="B216" s="632"/>
      <c r="C216" s="632"/>
      <c r="D216" s="632"/>
      <c r="E216" s="632"/>
      <c r="F216" s="632"/>
      <c r="G216" s="632"/>
      <c r="H216" s="632"/>
      <c r="I216" s="632"/>
      <c r="J216" s="632"/>
      <c r="K216" s="632"/>
      <c r="L216" s="632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18"/>
    </row>
    <row r="217" spans="1:26" ht="12" customHeight="1" x14ac:dyDescent="0.35">
      <c r="A217" s="118"/>
      <c r="B217" s="632"/>
      <c r="C217" s="632"/>
      <c r="D217" s="632"/>
      <c r="E217" s="632"/>
      <c r="F217" s="632"/>
      <c r="G217" s="632"/>
      <c r="H217" s="632"/>
      <c r="I217" s="632"/>
      <c r="J217" s="632"/>
      <c r="K217" s="632"/>
      <c r="L217" s="632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18"/>
    </row>
    <row r="218" spans="1:26" ht="12" customHeight="1" x14ac:dyDescent="0.35">
      <c r="A218" s="118"/>
      <c r="B218" s="632"/>
      <c r="C218" s="632"/>
      <c r="D218" s="632"/>
      <c r="E218" s="632"/>
      <c r="F218" s="632"/>
      <c r="G218" s="632"/>
      <c r="H218" s="632"/>
      <c r="I218" s="632"/>
      <c r="J218" s="632"/>
      <c r="K218" s="632"/>
      <c r="L218" s="632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18"/>
    </row>
    <row r="219" spans="1:26" ht="12" customHeight="1" x14ac:dyDescent="0.35">
      <c r="A219" s="118"/>
      <c r="B219" s="632"/>
      <c r="C219" s="632"/>
      <c r="D219" s="632"/>
      <c r="E219" s="632"/>
      <c r="F219" s="632"/>
      <c r="G219" s="632"/>
      <c r="H219" s="632"/>
      <c r="I219" s="632"/>
      <c r="J219" s="632"/>
      <c r="K219" s="632"/>
      <c r="L219" s="632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18"/>
    </row>
    <row r="220" spans="1:26" ht="12" customHeight="1" x14ac:dyDescent="0.35">
      <c r="A220" s="118"/>
      <c r="B220" s="632"/>
      <c r="C220" s="632"/>
      <c r="D220" s="632"/>
      <c r="E220" s="632"/>
      <c r="F220" s="632"/>
      <c r="G220" s="632"/>
      <c r="H220" s="632"/>
      <c r="I220" s="632"/>
      <c r="J220" s="632"/>
      <c r="K220" s="632"/>
      <c r="L220" s="632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18"/>
    </row>
    <row r="221" spans="1:26" ht="12" customHeight="1" x14ac:dyDescent="0.35">
      <c r="A221" s="118"/>
      <c r="B221" s="632"/>
      <c r="C221" s="632"/>
      <c r="D221" s="632"/>
      <c r="E221" s="632"/>
      <c r="F221" s="632"/>
      <c r="G221" s="632"/>
      <c r="H221" s="632"/>
      <c r="I221" s="632"/>
      <c r="J221" s="632"/>
      <c r="K221" s="632"/>
      <c r="L221" s="632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18"/>
    </row>
    <row r="222" spans="1:26" ht="12" customHeight="1" x14ac:dyDescent="0.35">
      <c r="A222" s="118"/>
      <c r="B222" s="632"/>
      <c r="C222" s="632"/>
      <c r="D222" s="632"/>
      <c r="E222" s="632"/>
      <c r="F222" s="632"/>
      <c r="G222" s="632"/>
      <c r="H222" s="632"/>
      <c r="I222" s="632"/>
      <c r="J222" s="632"/>
      <c r="K222" s="632"/>
      <c r="L222" s="632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18"/>
    </row>
    <row r="223" spans="1:26" ht="12" customHeight="1" x14ac:dyDescent="0.35">
      <c r="A223" s="118"/>
      <c r="B223" s="632"/>
      <c r="C223" s="632"/>
      <c r="D223" s="632"/>
      <c r="E223" s="632"/>
      <c r="F223" s="632"/>
      <c r="G223" s="632"/>
      <c r="H223" s="632"/>
      <c r="I223" s="632"/>
      <c r="J223" s="632"/>
      <c r="K223" s="632"/>
      <c r="L223" s="632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18"/>
    </row>
    <row r="224" spans="1:26" ht="12" customHeight="1" x14ac:dyDescent="0.3">
      <c r="A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</row>
    <row r="225" spans="1:26" ht="12" customHeight="1" x14ac:dyDescent="0.3">
      <c r="A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</row>
    <row r="226" spans="1:26" ht="12" customHeight="1" x14ac:dyDescent="0.3">
      <c r="A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</row>
    <row r="227" spans="1:26" ht="12" customHeight="1" x14ac:dyDescent="0.3">
      <c r="A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</row>
    <row r="228" spans="1:26" ht="12" customHeight="1" x14ac:dyDescent="0.3">
      <c r="A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</row>
    <row r="229" spans="1:26" ht="12" customHeight="1" x14ac:dyDescent="0.3">
      <c r="A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</row>
    <row r="230" spans="1:26" ht="12" customHeight="1" x14ac:dyDescent="0.3">
      <c r="A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</row>
    <row r="231" spans="1:26" ht="12" customHeight="1" x14ac:dyDescent="0.3">
      <c r="A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</row>
    <row r="232" spans="1:26" ht="12" customHeight="1" x14ac:dyDescent="0.3">
      <c r="A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</row>
    <row r="233" spans="1:26" ht="12" customHeight="1" x14ac:dyDescent="0.3">
      <c r="A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</row>
    <row r="234" spans="1:26" ht="12" customHeight="1" x14ac:dyDescent="0.3">
      <c r="A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</row>
    <row r="235" spans="1:26" ht="12" customHeight="1" x14ac:dyDescent="0.3">
      <c r="A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</row>
    <row r="236" spans="1:26" ht="12" customHeight="1" x14ac:dyDescent="0.3">
      <c r="A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</row>
    <row r="237" spans="1:26" ht="12" customHeight="1" x14ac:dyDescent="0.3">
      <c r="A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</row>
    <row r="238" spans="1:26" ht="12" customHeight="1" x14ac:dyDescent="0.3">
      <c r="A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</row>
    <row r="239" spans="1:26" ht="12" customHeight="1" x14ac:dyDescent="0.3">
      <c r="A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</row>
    <row r="240" spans="1:26" ht="12" customHeight="1" x14ac:dyDescent="0.3">
      <c r="A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</row>
    <row r="241" spans="1:26" ht="12" customHeight="1" x14ac:dyDescent="0.3">
      <c r="A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</row>
    <row r="242" spans="1:26" ht="12" customHeight="1" x14ac:dyDescent="0.3">
      <c r="A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</row>
    <row r="243" spans="1:26" ht="12" customHeight="1" x14ac:dyDescent="0.3">
      <c r="A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</row>
    <row r="244" spans="1:26" ht="12" customHeight="1" x14ac:dyDescent="0.3">
      <c r="A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</row>
    <row r="245" spans="1:26" ht="12" customHeight="1" x14ac:dyDescent="0.3">
      <c r="A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1:26" ht="12" customHeight="1" x14ac:dyDescent="0.3">
      <c r="A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spans="1:26" ht="12" customHeight="1" x14ac:dyDescent="0.3">
      <c r="A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spans="1:26" ht="12" customHeight="1" x14ac:dyDescent="0.3">
      <c r="A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1:26" ht="12" customHeight="1" x14ac:dyDescent="0.3">
      <c r="A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</row>
    <row r="250" spans="1:26" ht="12" customHeight="1" x14ac:dyDescent="0.3">
      <c r="A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spans="1:26" ht="12" customHeight="1" x14ac:dyDescent="0.3">
      <c r="A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spans="1:26" ht="12" customHeight="1" x14ac:dyDescent="0.3">
      <c r="A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spans="1:26" ht="12" customHeight="1" x14ac:dyDescent="0.3">
      <c r="A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spans="1:26" ht="12" customHeight="1" x14ac:dyDescent="0.3">
      <c r="A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spans="1:26" ht="12" customHeight="1" x14ac:dyDescent="0.3">
      <c r="A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</row>
    <row r="256" spans="1:26" ht="12" customHeight="1" x14ac:dyDescent="0.3">
      <c r="A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spans="1:26" ht="12" customHeight="1" x14ac:dyDescent="0.3">
      <c r="A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spans="1:26" ht="12" customHeight="1" x14ac:dyDescent="0.3">
      <c r="A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spans="1:26" ht="12" customHeight="1" x14ac:dyDescent="0.3">
      <c r="A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spans="1:26" ht="12" customHeight="1" x14ac:dyDescent="0.3">
      <c r="A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spans="1:26" ht="12" customHeight="1" x14ac:dyDescent="0.3">
      <c r="A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</row>
    <row r="262" spans="1:26" ht="12" customHeight="1" x14ac:dyDescent="0.3">
      <c r="A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spans="1:26" ht="12" customHeight="1" x14ac:dyDescent="0.3">
      <c r="A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spans="1:26" ht="12" customHeight="1" x14ac:dyDescent="0.3">
      <c r="A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spans="1:26" ht="12" customHeight="1" x14ac:dyDescent="0.3">
      <c r="A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spans="1:26" ht="12" customHeight="1" x14ac:dyDescent="0.3">
      <c r="A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spans="1:26" ht="12" customHeight="1" x14ac:dyDescent="0.3">
      <c r="A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spans="1:26" ht="12" customHeight="1" x14ac:dyDescent="0.3">
      <c r="A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</row>
    <row r="269" spans="1:26" ht="12" customHeight="1" x14ac:dyDescent="0.3">
      <c r="A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</row>
    <row r="270" spans="1:26" ht="12" customHeight="1" x14ac:dyDescent="0.3">
      <c r="A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</row>
    <row r="271" spans="1:26" ht="12" customHeight="1" x14ac:dyDescent="0.3">
      <c r="A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spans="1:26" ht="12" customHeight="1" x14ac:dyDescent="0.3">
      <c r="A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</row>
    <row r="273" spans="1:26" ht="12" customHeight="1" x14ac:dyDescent="0.3">
      <c r="A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</row>
    <row r="274" spans="1:26" ht="12" customHeight="1" x14ac:dyDescent="0.3">
      <c r="A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</row>
    <row r="275" spans="1:26" ht="12" customHeight="1" x14ac:dyDescent="0.3">
      <c r="A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</row>
    <row r="276" spans="1:26" ht="12" customHeight="1" x14ac:dyDescent="0.3">
      <c r="A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</row>
    <row r="277" spans="1:26" ht="12" customHeight="1" x14ac:dyDescent="0.3">
      <c r="A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spans="1:26" ht="12" customHeight="1" x14ac:dyDescent="0.3">
      <c r="A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spans="1:26" ht="12" customHeight="1" x14ac:dyDescent="0.3">
      <c r="A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</row>
    <row r="280" spans="1:26" ht="12" customHeight="1" x14ac:dyDescent="0.3">
      <c r="A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</row>
    <row r="281" spans="1:26" ht="12" customHeight="1" x14ac:dyDescent="0.3">
      <c r="A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</row>
    <row r="282" spans="1:26" ht="12" customHeight="1" x14ac:dyDescent="0.3">
      <c r="A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</row>
    <row r="283" spans="1:26" ht="12" customHeight="1" x14ac:dyDescent="0.3">
      <c r="A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</row>
    <row r="284" spans="1:26" ht="12" customHeight="1" x14ac:dyDescent="0.3">
      <c r="A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</row>
    <row r="285" spans="1:26" ht="12" customHeight="1" x14ac:dyDescent="0.3">
      <c r="A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</row>
    <row r="286" spans="1:26" ht="12" customHeight="1" x14ac:dyDescent="0.3">
      <c r="A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</row>
    <row r="287" spans="1:26" ht="12" customHeight="1" x14ac:dyDescent="0.3">
      <c r="A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</row>
    <row r="288" spans="1:26" ht="12" customHeight="1" x14ac:dyDescent="0.3">
      <c r="A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</row>
    <row r="289" spans="1:26" ht="12" customHeight="1" x14ac:dyDescent="0.3">
      <c r="A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</row>
    <row r="290" spans="1:26" ht="12" customHeight="1" x14ac:dyDescent="0.3">
      <c r="A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</row>
    <row r="291" spans="1:26" ht="12" customHeight="1" x14ac:dyDescent="0.3">
      <c r="A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</row>
    <row r="292" spans="1:26" ht="12" customHeight="1" x14ac:dyDescent="0.3">
      <c r="A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</row>
    <row r="293" spans="1:26" ht="12" customHeight="1" x14ac:dyDescent="0.3">
      <c r="A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</row>
    <row r="294" spans="1:26" ht="12" customHeight="1" x14ac:dyDescent="0.3">
      <c r="A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</row>
    <row r="295" spans="1:26" ht="12" customHeight="1" x14ac:dyDescent="0.3">
      <c r="A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</row>
    <row r="296" spans="1:26" ht="12" customHeight="1" x14ac:dyDescent="0.3">
      <c r="A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</row>
    <row r="297" spans="1:26" ht="12" customHeight="1" x14ac:dyDescent="0.3">
      <c r="A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</row>
    <row r="298" spans="1:26" ht="12" customHeight="1" x14ac:dyDescent="0.3">
      <c r="A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spans="1:26" ht="12" customHeight="1" x14ac:dyDescent="0.3">
      <c r="A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spans="1:26" ht="12" customHeight="1" x14ac:dyDescent="0.3">
      <c r="A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spans="1:26" ht="12" customHeight="1" x14ac:dyDescent="0.3">
      <c r="A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spans="1:26" ht="12" customHeight="1" x14ac:dyDescent="0.3">
      <c r="A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</row>
    <row r="303" spans="1:26" ht="12" customHeight="1" x14ac:dyDescent="0.3">
      <c r="A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</row>
    <row r="304" spans="1:26" ht="12" customHeight="1" x14ac:dyDescent="0.3">
      <c r="A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spans="1:26" ht="12" customHeight="1" x14ac:dyDescent="0.3">
      <c r="A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spans="1:26" ht="12" customHeight="1" x14ac:dyDescent="0.3">
      <c r="A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spans="1:26" ht="12" customHeight="1" x14ac:dyDescent="0.3">
      <c r="A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</row>
    <row r="308" spans="1:26" ht="12" customHeight="1" x14ac:dyDescent="0.3">
      <c r="A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spans="1:26" ht="12" customHeight="1" x14ac:dyDescent="0.3">
      <c r="A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</row>
    <row r="310" spans="1:26" ht="12" customHeight="1" x14ac:dyDescent="0.3">
      <c r="A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spans="1:26" ht="12" customHeight="1" x14ac:dyDescent="0.3">
      <c r="A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spans="1:26" ht="12" customHeight="1" x14ac:dyDescent="0.3">
      <c r="A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</row>
    <row r="313" spans="1:26" ht="12" customHeight="1" x14ac:dyDescent="0.3">
      <c r="A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</row>
    <row r="314" spans="1:26" ht="12" customHeight="1" x14ac:dyDescent="0.3">
      <c r="A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spans="1:26" ht="12" customHeight="1" x14ac:dyDescent="0.3">
      <c r="A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spans="1:26" ht="12" customHeight="1" x14ac:dyDescent="0.3">
      <c r="A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1:26" ht="12" customHeight="1" x14ac:dyDescent="0.3">
      <c r="A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</row>
    <row r="318" spans="1:26" ht="12" customHeight="1" x14ac:dyDescent="0.3">
      <c r="A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spans="1:26" ht="12" customHeight="1" x14ac:dyDescent="0.3">
      <c r="A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spans="1:26" ht="12" customHeight="1" x14ac:dyDescent="0.3">
      <c r="A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spans="1:26" ht="12" customHeight="1" x14ac:dyDescent="0.3">
      <c r="A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spans="1:26" ht="12" customHeight="1" x14ac:dyDescent="0.3">
      <c r="A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spans="1:26" ht="12" customHeight="1" x14ac:dyDescent="0.3">
      <c r="A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</row>
    <row r="324" spans="1:26" ht="12" customHeight="1" x14ac:dyDescent="0.3">
      <c r="A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spans="1:26" ht="12" customHeight="1" x14ac:dyDescent="0.3">
      <c r="A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spans="1:26" ht="12" customHeight="1" x14ac:dyDescent="0.3">
      <c r="A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spans="1:26" ht="12" customHeight="1" x14ac:dyDescent="0.3">
      <c r="A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spans="1:26" ht="12" customHeight="1" x14ac:dyDescent="0.3">
      <c r="A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spans="1:26" ht="12" customHeight="1" x14ac:dyDescent="0.3">
      <c r="A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</row>
    <row r="330" spans="1:26" ht="12" customHeight="1" x14ac:dyDescent="0.3">
      <c r="A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1:26" ht="12" customHeight="1" x14ac:dyDescent="0.3">
      <c r="A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spans="1:26" ht="12" customHeight="1" x14ac:dyDescent="0.3">
      <c r="A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spans="1:26" ht="12" customHeight="1" x14ac:dyDescent="0.3">
      <c r="A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</row>
    <row r="334" spans="1:26" ht="12" customHeight="1" x14ac:dyDescent="0.3">
      <c r="A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</row>
    <row r="335" spans="1:26" ht="12" customHeight="1" x14ac:dyDescent="0.3">
      <c r="A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</row>
    <row r="336" spans="1:26" ht="12" customHeight="1" x14ac:dyDescent="0.3">
      <c r="A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</row>
    <row r="337" spans="1:26" ht="12" customHeight="1" x14ac:dyDescent="0.3">
      <c r="A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</row>
    <row r="338" spans="1:26" ht="12" customHeight="1" x14ac:dyDescent="0.3">
      <c r="A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</row>
    <row r="339" spans="1:26" ht="12" customHeight="1" x14ac:dyDescent="0.3">
      <c r="A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</row>
    <row r="340" spans="1:26" ht="12" customHeight="1" x14ac:dyDescent="0.3">
      <c r="A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</row>
    <row r="341" spans="1:26" ht="12" customHeight="1" x14ac:dyDescent="0.3">
      <c r="A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</row>
    <row r="342" spans="1:26" ht="12" customHeight="1" x14ac:dyDescent="0.3">
      <c r="A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</row>
    <row r="343" spans="1:26" ht="12" customHeight="1" x14ac:dyDescent="0.3">
      <c r="A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</row>
    <row r="344" spans="1:26" ht="12" customHeight="1" x14ac:dyDescent="0.3">
      <c r="A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</row>
    <row r="345" spans="1:26" ht="12" customHeight="1" x14ac:dyDescent="0.3">
      <c r="A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</row>
    <row r="346" spans="1:26" ht="12" customHeight="1" x14ac:dyDescent="0.3">
      <c r="A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</row>
    <row r="347" spans="1:26" ht="12" customHeight="1" x14ac:dyDescent="0.3">
      <c r="A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</row>
    <row r="348" spans="1:26" ht="12" customHeight="1" x14ac:dyDescent="0.3">
      <c r="A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</row>
    <row r="349" spans="1:26" ht="12" customHeight="1" x14ac:dyDescent="0.3">
      <c r="A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</row>
    <row r="350" spans="1:26" ht="12" customHeight="1" x14ac:dyDescent="0.3">
      <c r="A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</row>
    <row r="351" spans="1:26" ht="12" customHeight="1" x14ac:dyDescent="0.3">
      <c r="A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</row>
    <row r="352" spans="1:26" ht="12" customHeight="1" x14ac:dyDescent="0.3">
      <c r="A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</row>
    <row r="353" spans="1:26" ht="12" customHeight="1" x14ac:dyDescent="0.3">
      <c r="A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</row>
    <row r="354" spans="1:26" ht="12" customHeight="1" x14ac:dyDescent="0.3">
      <c r="A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</row>
    <row r="355" spans="1:26" ht="12" customHeight="1" x14ac:dyDescent="0.3">
      <c r="A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</row>
    <row r="356" spans="1:26" ht="12" customHeight="1" x14ac:dyDescent="0.3">
      <c r="A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</row>
    <row r="357" spans="1:26" ht="12" customHeight="1" x14ac:dyDescent="0.3">
      <c r="A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</row>
    <row r="358" spans="1:26" ht="12" customHeight="1" x14ac:dyDescent="0.3">
      <c r="A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</row>
    <row r="359" spans="1:26" ht="12" customHeight="1" x14ac:dyDescent="0.3">
      <c r="A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</row>
    <row r="360" spans="1:26" ht="12" customHeight="1" x14ac:dyDescent="0.3">
      <c r="A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</row>
    <row r="361" spans="1:26" ht="12" customHeight="1" x14ac:dyDescent="0.3">
      <c r="A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</row>
    <row r="362" spans="1:26" ht="12" customHeight="1" x14ac:dyDescent="0.3">
      <c r="A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</row>
    <row r="363" spans="1:26" ht="12" customHeight="1" x14ac:dyDescent="0.3">
      <c r="A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</row>
    <row r="364" spans="1:26" ht="12" customHeight="1" x14ac:dyDescent="0.3">
      <c r="A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</row>
    <row r="365" spans="1:26" ht="12" customHeight="1" x14ac:dyDescent="0.3">
      <c r="A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</row>
    <row r="366" spans="1:26" ht="12" customHeight="1" x14ac:dyDescent="0.3">
      <c r="A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</row>
    <row r="367" spans="1:26" ht="12" customHeight="1" x14ac:dyDescent="0.3">
      <c r="A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</row>
    <row r="368" spans="1:26" ht="12" customHeight="1" x14ac:dyDescent="0.3">
      <c r="A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</row>
    <row r="369" spans="1:26" ht="12" customHeight="1" x14ac:dyDescent="0.3">
      <c r="A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</row>
    <row r="370" spans="1:26" ht="12" customHeight="1" x14ac:dyDescent="0.3">
      <c r="A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</row>
    <row r="371" spans="1:26" ht="12" customHeight="1" x14ac:dyDescent="0.3">
      <c r="A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</row>
    <row r="372" spans="1:26" ht="12" customHeight="1" x14ac:dyDescent="0.3">
      <c r="A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</row>
    <row r="373" spans="1:26" ht="12" customHeight="1" x14ac:dyDescent="0.3">
      <c r="A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</row>
    <row r="374" spans="1:26" ht="12" customHeight="1" x14ac:dyDescent="0.3">
      <c r="A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</row>
    <row r="375" spans="1:26" ht="12" customHeight="1" x14ac:dyDescent="0.3">
      <c r="A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</row>
    <row r="376" spans="1:26" ht="12" customHeight="1" x14ac:dyDescent="0.3">
      <c r="A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</row>
    <row r="377" spans="1:26" ht="12" customHeight="1" x14ac:dyDescent="0.3">
      <c r="A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</row>
    <row r="378" spans="1:26" ht="12" customHeight="1" x14ac:dyDescent="0.3">
      <c r="A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</row>
    <row r="379" spans="1:26" ht="12" customHeight="1" x14ac:dyDescent="0.3">
      <c r="A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</row>
    <row r="380" spans="1:26" ht="12" customHeight="1" x14ac:dyDescent="0.3">
      <c r="A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</row>
    <row r="381" spans="1:26" ht="12" customHeight="1" x14ac:dyDescent="0.3">
      <c r="A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</row>
    <row r="382" spans="1:26" ht="12" customHeight="1" x14ac:dyDescent="0.3">
      <c r="A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</row>
    <row r="383" spans="1:26" ht="12" customHeight="1" x14ac:dyDescent="0.3">
      <c r="A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</row>
    <row r="384" spans="1:26" ht="12" customHeight="1" x14ac:dyDescent="0.3">
      <c r="A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</row>
    <row r="385" spans="1:26" ht="12" customHeight="1" x14ac:dyDescent="0.3">
      <c r="A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</row>
    <row r="386" spans="1:26" ht="12" customHeight="1" x14ac:dyDescent="0.3">
      <c r="A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</row>
    <row r="387" spans="1:26" ht="12" customHeight="1" x14ac:dyDescent="0.3">
      <c r="A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</row>
    <row r="388" spans="1:26" ht="12" customHeight="1" x14ac:dyDescent="0.3">
      <c r="A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</row>
    <row r="389" spans="1:26" ht="12" customHeight="1" x14ac:dyDescent="0.3">
      <c r="A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</row>
    <row r="390" spans="1:26" ht="12" customHeight="1" x14ac:dyDescent="0.3">
      <c r="A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</row>
    <row r="391" spans="1:26" ht="12" customHeight="1" x14ac:dyDescent="0.3">
      <c r="A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</row>
    <row r="392" spans="1:26" ht="12" customHeight="1" x14ac:dyDescent="0.3">
      <c r="A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</row>
    <row r="393" spans="1:26" ht="12" customHeight="1" x14ac:dyDescent="0.3">
      <c r="A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</row>
    <row r="394" spans="1:26" ht="12" customHeight="1" x14ac:dyDescent="0.3">
      <c r="A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</row>
    <row r="395" spans="1:26" ht="12" customHeight="1" x14ac:dyDescent="0.3">
      <c r="A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</row>
    <row r="396" spans="1:26" ht="12" customHeight="1" x14ac:dyDescent="0.3">
      <c r="A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</row>
    <row r="397" spans="1:26" ht="12" customHeight="1" x14ac:dyDescent="0.3">
      <c r="A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</row>
    <row r="398" spans="1:26" ht="12" customHeight="1" x14ac:dyDescent="0.3">
      <c r="A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</row>
    <row r="399" spans="1:26" ht="12" customHeight="1" x14ac:dyDescent="0.3">
      <c r="A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</row>
    <row r="400" spans="1:26" ht="12" customHeight="1" x14ac:dyDescent="0.3">
      <c r="A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</row>
    <row r="401" spans="1:26" ht="12" customHeight="1" x14ac:dyDescent="0.3">
      <c r="A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</row>
    <row r="402" spans="1:26" ht="12" customHeight="1" x14ac:dyDescent="0.3">
      <c r="A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</row>
    <row r="403" spans="1:26" ht="12" customHeight="1" x14ac:dyDescent="0.3">
      <c r="A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</row>
    <row r="404" spans="1:26" ht="12" customHeight="1" x14ac:dyDescent="0.3">
      <c r="A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</row>
    <row r="405" spans="1:26" ht="12" customHeight="1" x14ac:dyDescent="0.3">
      <c r="A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</row>
    <row r="406" spans="1:26" ht="12" customHeight="1" x14ac:dyDescent="0.3">
      <c r="A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</row>
    <row r="407" spans="1:26" ht="12" customHeight="1" x14ac:dyDescent="0.3">
      <c r="A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</row>
    <row r="408" spans="1:26" ht="12" customHeight="1" x14ac:dyDescent="0.3">
      <c r="A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</row>
    <row r="409" spans="1:26" ht="12" customHeight="1" x14ac:dyDescent="0.3">
      <c r="A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</row>
    <row r="410" spans="1:26" ht="12" customHeight="1" x14ac:dyDescent="0.3">
      <c r="A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</row>
    <row r="411" spans="1:26" ht="12" customHeight="1" x14ac:dyDescent="0.3">
      <c r="A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</row>
    <row r="412" spans="1:26" ht="12" customHeight="1" x14ac:dyDescent="0.3">
      <c r="A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</row>
    <row r="413" spans="1:26" ht="12" customHeight="1" x14ac:dyDescent="0.3">
      <c r="A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</row>
    <row r="414" spans="1:26" ht="12" customHeight="1" x14ac:dyDescent="0.3">
      <c r="A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</row>
    <row r="415" spans="1:26" ht="12" customHeight="1" x14ac:dyDescent="0.3">
      <c r="A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</row>
    <row r="416" spans="1:26" ht="12" customHeight="1" x14ac:dyDescent="0.3">
      <c r="A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</row>
    <row r="417" spans="1:26" ht="12" customHeight="1" x14ac:dyDescent="0.3">
      <c r="A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</row>
    <row r="418" spans="1:26" ht="12" customHeight="1" x14ac:dyDescent="0.3">
      <c r="A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</row>
    <row r="419" spans="1:26" ht="12" customHeight="1" x14ac:dyDescent="0.3">
      <c r="A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</row>
    <row r="420" spans="1:26" ht="12" customHeight="1" x14ac:dyDescent="0.3">
      <c r="A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</row>
    <row r="421" spans="1:26" ht="12" customHeight="1" x14ac:dyDescent="0.3">
      <c r="A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</row>
    <row r="422" spans="1:26" ht="12" customHeight="1" x14ac:dyDescent="0.3">
      <c r="A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</row>
    <row r="423" spans="1:26" ht="12" customHeight="1" x14ac:dyDescent="0.3">
      <c r="A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</row>
    <row r="424" spans="1:26" ht="12" customHeight="1" x14ac:dyDescent="0.3">
      <c r="A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</row>
    <row r="425" spans="1:26" ht="12" customHeight="1" x14ac:dyDescent="0.3">
      <c r="A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</row>
    <row r="426" spans="1:26" ht="12" customHeight="1" x14ac:dyDescent="0.3">
      <c r="A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</row>
    <row r="427" spans="1:26" ht="12" customHeight="1" x14ac:dyDescent="0.3">
      <c r="A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</row>
    <row r="428" spans="1:26" ht="12" customHeight="1" x14ac:dyDescent="0.3">
      <c r="A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</row>
    <row r="429" spans="1:26" ht="12" customHeight="1" x14ac:dyDescent="0.3">
      <c r="A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</row>
    <row r="430" spans="1:26" ht="12" customHeight="1" x14ac:dyDescent="0.3">
      <c r="A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</row>
    <row r="431" spans="1:26" ht="12" customHeight="1" x14ac:dyDescent="0.3">
      <c r="A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</row>
    <row r="432" spans="1:26" ht="12" customHeight="1" x14ac:dyDescent="0.3">
      <c r="A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</row>
    <row r="433" spans="1:26" ht="12" customHeight="1" x14ac:dyDescent="0.3">
      <c r="A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</row>
    <row r="434" spans="1:26" ht="12" customHeight="1" x14ac:dyDescent="0.3">
      <c r="A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</row>
    <row r="435" spans="1:26" ht="12" customHeight="1" x14ac:dyDescent="0.3">
      <c r="A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</row>
    <row r="436" spans="1:26" ht="12" customHeight="1" x14ac:dyDescent="0.3">
      <c r="A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</row>
    <row r="437" spans="1:26" ht="12" customHeight="1" x14ac:dyDescent="0.3">
      <c r="A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</row>
    <row r="438" spans="1:26" ht="12" customHeight="1" x14ac:dyDescent="0.3">
      <c r="A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</row>
    <row r="439" spans="1:26" ht="12" customHeight="1" x14ac:dyDescent="0.3">
      <c r="A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</row>
    <row r="440" spans="1:26" ht="12" customHeight="1" x14ac:dyDescent="0.3">
      <c r="A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</row>
    <row r="441" spans="1:26" ht="12" customHeight="1" x14ac:dyDescent="0.3">
      <c r="A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</row>
    <row r="442" spans="1:26" ht="12" customHeight="1" x14ac:dyDescent="0.3">
      <c r="A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</row>
    <row r="443" spans="1:26" ht="12" customHeight="1" x14ac:dyDescent="0.3">
      <c r="A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</row>
    <row r="444" spans="1:26" ht="12" customHeight="1" x14ac:dyDescent="0.3">
      <c r="A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</row>
    <row r="445" spans="1:26" ht="12" customHeight="1" x14ac:dyDescent="0.3">
      <c r="A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</row>
    <row r="446" spans="1:26" ht="12" customHeight="1" x14ac:dyDescent="0.3">
      <c r="A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</row>
    <row r="447" spans="1:26" ht="12" customHeight="1" x14ac:dyDescent="0.3">
      <c r="A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</row>
    <row r="448" spans="1:26" ht="12" customHeight="1" x14ac:dyDescent="0.3">
      <c r="A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</row>
    <row r="449" spans="1:26" ht="12" customHeight="1" x14ac:dyDescent="0.3">
      <c r="A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</row>
    <row r="450" spans="1:26" ht="12" customHeight="1" x14ac:dyDescent="0.3">
      <c r="A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</row>
    <row r="451" spans="1:26" ht="12" customHeight="1" x14ac:dyDescent="0.3">
      <c r="A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</row>
    <row r="452" spans="1:26" ht="12" customHeight="1" x14ac:dyDescent="0.3">
      <c r="A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</row>
    <row r="453" spans="1:26" ht="12" customHeight="1" x14ac:dyDescent="0.3">
      <c r="A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</row>
    <row r="454" spans="1:26" ht="12" customHeight="1" x14ac:dyDescent="0.3">
      <c r="A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</row>
    <row r="455" spans="1:26" ht="12" customHeight="1" x14ac:dyDescent="0.3">
      <c r="A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</row>
    <row r="456" spans="1:26" ht="12" customHeight="1" x14ac:dyDescent="0.3">
      <c r="A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</row>
    <row r="457" spans="1:26" ht="12" customHeight="1" x14ac:dyDescent="0.3">
      <c r="A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</row>
    <row r="458" spans="1:26" ht="12" customHeight="1" x14ac:dyDescent="0.3">
      <c r="A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</row>
    <row r="459" spans="1:26" ht="12" customHeight="1" x14ac:dyDescent="0.3">
      <c r="A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</row>
    <row r="460" spans="1:26" ht="12" customHeight="1" x14ac:dyDescent="0.3">
      <c r="A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</row>
    <row r="461" spans="1:26" ht="12" customHeight="1" x14ac:dyDescent="0.3">
      <c r="A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</row>
    <row r="462" spans="1:26" ht="12" customHeight="1" x14ac:dyDescent="0.3">
      <c r="A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</row>
    <row r="463" spans="1:26" ht="12" customHeight="1" x14ac:dyDescent="0.3">
      <c r="A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</row>
    <row r="464" spans="1:26" ht="12" customHeight="1" x14ac:dyDescent="0.3">
      <c r="A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</row>
    <row r="465" spans="1:26" ht="12" customHeight="1" x14ac:dyDescent="0.3">
      <c r="A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</row>
    <row r="466" spans="1:26" ht="12" customHeight="1" x14ac:dyDescent="0.3">
      <c r="A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</row>
    <row r="467" spans="1:26" ht="12" customHeight="1" x14ac:dyDescent="0.3">
      <c r="A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</row>
    <row r="468" spans="1:26" ht="12" customHeight="1" x14ac:dyDescent="0.3">
      <c r="A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</row>
    <row r="469" spans="1:26" ht="12" customHeight="1" x14ac:dyDescent="0.3">
      <c r="A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</row>
    <row r="470" spans="1:26" ht="12" customHeight="1" x14ac:dyDescent="0.3">
      <c r="A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</row>
    <row r="471" spans="1:26" ht="12" customHeight="1" x14ac:dyDescent="0.3">
      <c r="A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</row>
    <row r="472" spans="1:26" ht="12" customHeight="1" x14ac:dyDescent="0.3">
      <c r="A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</row>
    <row r="473" spans="1:26" ht="12" customHeight="1" x14ac:dyDescent="0.3">
      <c r="A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</row>
    <row r="474" spans="1:26" ht="12" customHeight="1" x14ac:dyDescent="0.3">
      <c r="A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</row>
    <row r="475" spans="1:26" ht="12" customHeight="1" x14ac:dyDescent="0.3">
      <c r="A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</row>
    <row r="476" spans="1:26" ht="12" customHeight="1" x14ac:dyDescent="0.3">
      <c r="A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</row>
    <row r="477" spans="1:26" ht="12" customHeight="1" x14ac:dyDescent="0.3">
      <c r="A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</row>
    <row r="478" spans="1:26" ht="12" customHeight="1" x14ac:dyDescent="0.3">
      <c r="A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</row>
    <row r="479" spans="1:26" ht="12" customHeight="1" x14ac:dyDescent="0.3">
      <c r="A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</row>
    <row r="480" spans="1:26" ht="12" customHeight="1" x14ac:dyDescent="0.3">
      <c r="A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</row>
    <row r="481" spans="1:26" ht="12" customHeight="1" x14ac:dyDescent="0.3">
      <c r="A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</row>
    <row r="482" spans="1:26" ht="12" customHeight="1" x14ac:dyDescent="0.3">
      <c r="A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</row>
    <row r="483" spans="1:26" ht="12" customHeight="1" x14ac:dyDescent="0.3">
      <c r="A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</row>
    <row r="484" spans="1:26" ht="12" customHeight="1" x14ac:dyDescent="0.3">
      <c r="A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</row>
    <row r="485" spans="1:26" ht="12" customHeight="1" x14ac:dyDescent="0.3">
      <c r="A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</row>
    <row r="486" spans="1:26" ht="12" customHeight="1" x14ac:dyDescent="0.3">
      <c r="A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</row>
    <row r="487" spans="1:26" ht="12" customHeight="1" x14ac:dyDescent="0.3">
      <c r="A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</row>
    <row r="488" spans="1:26" ht="12" customHeight="1" x14ac:dyDescent="0.3">
      <c r="A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</row>
    <row r="489" spans="1:26" ht="12" customHeight="1" x14ac:dyDescent="0.3">
      <c r="A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</row>
    <row r="490" spans="1:26" ht="12" customHeight="1" x14ac:dyDescent="0.3">
      <c r="A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</row>
    <row r="491" spans="1:26" ht="12" customHeight="1" x14ac:dyDescent="0.3">
      <c r="A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</row>
    <row r="492" spans="1:26" ht="12" customHeight="1" x14ac:dyDescent="0.3">
      <c r="A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</row>
    <row r="493" spans="1:26" ht="12" customHeight="1" x14ac:dyDescent="0.3">
      <c r="A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</row>
    <row r="494" spans="1:26" ht="12" customHeight="1" x14ac:dyDescent="0.3">
      <c r="A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</row>
    <row r="495" spans="1:26" ht="12" customHeight="1" x14ac:dyDescent="0.3">
      <c r="A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</row>
    <row r="496" spans="1:26" ht="12" customHeight="1" x14ac:dyDescent="0.3">
      <c r="A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</row>
    <row r="497" spans="1:26" ht="12" customHeight="1" x14ac:dyDescent="0.3">
      <c r="A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</row>
    <row r="498" spans="1:26" ht="12" customHeight="1" x14ac:dyDescent="0.3">
      <c r="A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</row>
    <row r="499" spans="1:26" ht="12" customHeight="1" x14ac:dyDescent="0.3">
      <c r="A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</row>
    <row r="500" spans="1:26" ht="12" customHeight="1" x14ac:dyDescent="0.3">
      <c r="A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</row>
    <row r="501" spans="1:26" ht="12" customHeight="1" x14ac:dyDescent="0.3">
      <c r="A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</row>
    <row r="502" spans="1:26" ht="12" customHeight="1" x14ac:dyDescent="0.3">
      <c r="A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</row>
    <row r="503" spans="1:26" ht="12" customHeight="1" x14ac:dyDescent="0.3">
      <c r="A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</row>
    <row r="504" spans="1:26" ht="12" customHeight="1" x14ac:dyDescent="0.3">
      <c r="A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</row>
    <row r="505" spans="1:26" ht="12" customHeight="1" x14ac:dyDescent="0.3">
      <c r="A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</row>
    <row r="506" spans="1:26" ht="12" customHeight="1" x14ac:dyDescent="0.3">
      <c r="A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</row>
    <row r="507" spans="1:26" ht="12" customHeight="1" x14ac:dyDescent="0.3">
      <c r="A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</row>
    <row r="508" spans="1:26" ht="12" customHeight="1" x14ac:dyDescent="0.3">
      <c r="A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</row>
    <row r="509" spans="1:26" ht="12" customHeight="1" x14ac:dyDescent="0.3">
      <c r="A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</row>
    <row r="510" spans="1:26" ht="12" customHeight="1" x14ac:dyDescent="0.3">
      <c r="A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</row>
    <row r="511" spans="1:26" ht="12" customHeight="1" x14ac:dyDescent="0.3">
      <c r="A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</row>
    <row r="512" spans="1:26" ht="12" customHeight="1" x14ac:dyDescent="0.3">
      <c r="A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</row>
    <row r="513" spans="1:26" ht="12" customHeight="1" x14ac:dyDescent="0.3">
      <c r="A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</row>
    <row r="514" spans="1:26" ht="12" customHeight="1" x14ac:dyDescent="0.3">
      <c r="A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</row>
    <row r="515" spans="1:26" ht="12" customHeight="1" x14ac:dyDescent="0.3">
      <c r="A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</row>
    <row r="516" spans="1:26" ht="12" customHeight="1" x14ac:dyDescent="0.3">
      <c r="A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</row>
    <row r="517" spans="1:26" ht="12" customHeight="1" x14ac:dyDescent="0.3">
      <c r="A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</row>
    <row r="518" spans="1:26" ht="12" customHeight="1" x14ac:dyDescent="0.3">
      <c r="A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</row>
    <row r="519" spans="1:26" ht="12" customHeight="1" x14ac:dyDescent="0.3">
      <c r="A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</row>
    <row r="520" spans="1:26" ht="12" customHeight="1" x14ac:dyDescent="0.3">
      <c r="A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</row>
    <row r="521" spans="1:26" ht="12" customHeight="1" x14ac:dyDescent="0.3">
      <c r="A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</row>
    <row r="522" spans="1:26" ht="12" customHeight="1" x14ac:dyDescent="0.3">
      <c r="A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</row>
    <row r="523" spans="1:26" ht="12" customHeight="1" x14ac:dyDescent="0.3">
      <c r="A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</row>
    <row r="524" spans="1:26" ht="12" customHeight="1" x14ac:dyDescent="0.3">
      <c r="A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</row>
    <row r="525" spans="1:26" ht="12" customHeight="1" x14ac:dyDescent="0.3">
      <c r="A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</row>
    <row r="526" spans="1:26" ht="12" customHeight="1" x14ac:dyDescent="0.3">
      <c r="A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</row>
    <row r="527" spans="1:26" ht="12" customHeight="1" x14ac:dyDescent="0.3">
      <c r="A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</row>
    <row r="528" spans="1:26" ht="12" customHeight="1" x14ac:dyDescent="0.3">
      <c r="A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</row>
    <row r="529" spans="1:26" ht="12" customHeight="1" x14ac:dyDescent="0.3">
      <c r="A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</row>
    <row r="530" spans="1:26" ht="12" customHeight="1" x14ac:dyDescent="0.3">
      <c r="A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</row>
    <row r="531" spans="1:26" ht="12" customHeight="1" x14ac:dyDescent="0.3">
      <c r="A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</row>
    <row r="532" spans="1:26" ht="12" customHeight="1" x14ac:dyDescent="0.3">
      <c r="A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</row>
    <row r="533" spans="1:26" ht="12" customHeight="1" x14ac:dyDescent="0.3">
      <c r="A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</row>
    <row r="534" spans="1:26" ht="12" customHeight="1" x14ac:dyDescent="0.3">
      <c r="A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</row>
    <row r="535" spans="1:26" ht="12" customHeight="1" x14ac:dyDescent="0.3">
      <c r="A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</row>
    <row r="536" spans="1:26" ht="12" customHeight="1" x14ac:dyDescent="0.3">
      <c r="A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</row>
    <row r="537" spans="1:26" ht="12" customHeight="1" x14ac:dyDescent="0.3">
      <c r="A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</row>
    <row r="538" spans="1:26" ht="12" customHeight="1" x14ac:dyDescent="0.3">
      <c r="A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</row>
    <row r="539" spans="1:26" ht="12" customHeight="1" x14ac:dyDescent="0.3">
      <c r="A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</row>
    <row r="540" spans="1:26" ht="12" customHeight="1" x14ac:dyDescent="0.3">
      <c r="A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</row>
    <row r="541" spans="1:26" ht="12" customHeight="1" x14ac:dyDescent="0.3">
      <c r="A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</row>
    <row r="542" spans="1:26" ht="12" customHeight="1" x14ac:dyDescent="0.3">
      <c r="A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</row>
    <row r="543" spans="1:26" ht="12" customHeight="1" x14ac:dyDescent="0.3">
      <c r="A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</row>
    <row r="544" spans="1:26" ht="12" customHeight="1" x14ac:dyDescent="0.3">
      <c r="A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</row>
    <row r="545" spans="1:26" ht="12" customHeight="1" x14ac:dyDescent="0.3">
      <c r="A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</row>
    <row r="546" spans="1:26" ht="12" customHeight="1" x14ac:dyDescent="0.3">
      <c r="A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</row>
    <row r="547" spans="1:26" ht="12" customHeight="1" x14ac:dyDescent="0.3">
      <c r="A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</row>
    <row r="548" spans="1:26" ht="12" customHeight="1" x14ac:dyDescent="0.3">
      <c r="A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</row>
    <row r="549" spans="1:26" ht="12" customHeight="1" x14ac:dyDescent="0.3">
      <c r="A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</row>
    <row r="550" spans="1:26" ht="12" customHeight="1" x14ac:dyDescent="0.3">
      <c r="A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</row>
    <row r="551" spans="1:26" ht="12" customHeight="1" x14ac:dyDescent="0.3">
      <c r="A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</row>
    <row r="552" spans="1:26" ht="12" customHeight="1" x14ac:dyDescent="0.3">
      <c r="A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</row>
    <row r="553" spans="1:26" ht="12" customHeight="1" x14ac:dyDescent="0.3">
      <c r="A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</row>
    <row r="554" spans="1:26" ht="12" customHeight="1" x14ac:dyDescent="0.3">
      <c r="A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</row>
    <row r="555" spans="1:26" ht="12" customHeight="1" x14ac:dyDescent="0.3">
      <c r="A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</row>
    <row r="556" spans="1:26" ht="12" customHeight="1" x14ac:dyDescent="0.3">
      <c r="A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</row>
    <row r="557" spans="1:26" ht="12" customHeight="1" x14ac:dyDescent="0.3">
      <c r="A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</row>
    <row r="558" spans="1:26" ht="12" customHeight="1" x14ac:dyDescent="0.3">
      <c r="A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</row>
    <row r="559" spans="1:26" ht="12" customHeight="1" x14ac:dyDescent="0.3">
      <c r="A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</row>
    <row r="560" spans="1:26" ht="12" customHeight="1" x14ac:dyDescent="0.3">
      <c r="A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</row>
    <row r="561" spans="1:26" ht="12" customHeight="1" x14ac:dyDescent="0.3">
      <c r="A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</row>
    <row r="562" spans="1:26" ht="12" customHeight="1" x14ac:dyDescent="0.3">
      <c r="A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</row>
    <row r="563" spans="1:26" ht="12" customHeight="1" x14ac:dyDescent="0.3">
      <c r="A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</row>
    <row r="564" spans="1:26" ht="12" customHeight="1" x14ac:dyDescent="0.3">
      <c r="A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</row>
    <row r="565" spans="1:26" ht="12" customHeight="1" x14ac:dyDescent="0.3">
      <c r="A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</row>
    <row r="566" spans="1:26" ht="12" customHeight="1" x14ac:dyDescent="0.3">
      <c r="A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</row>
    <row r="567" spans="1:26" ht="12" customHeight="1" x14ac:dyDescent="0.3">
      <c r="A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</row>
    <row r="568" spans="1:26" ht="12" customHeight="1" x14ac:dyDescent="0.3">
      <c r="A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</row>
    <row r="569" spans="1:26" ht="12" customHeight="1" x14ac:dyDescent="0.3">
      <c r="A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</row>
    <row r="570" spans="1:26" ht="12" customHeight="1" x14ac:dyDescent="0.3">
      <c r="A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</row>
    <row r="571" spans="1:26" ht="12" customHeight="1" x14ac:dyDescent="0.3">
      <c r="A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</row>
    <row r="572" spans="1:26" ht="12" customHeight="1" x14ac:dyDescent="0.3">
      <c r="A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</row>
    <row r="573" spans="1:26" ht="12" customHeight="1" x14ac:dyDescent="0.3">
      <c r="A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</row>
    <row r="574" spans="1:26" ht="12" customHeight="1" x14ac:dyDescent="0.3">
      <c r="A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</row>
    <row r="575" spans="1:26" ht="12" customHeight="1" x14ac:dyDescent="0.3">
      <c r="A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</row>
    <row r="576" spans="1:26" ht="12" customHeight="1" x14ac:dyDescent="0.3">
      <c r="A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</row>
    <row r="577" spans="1:26" ht="12" customHeight="1" x14ac:dyDescent="0.3">
      <c r="A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</row>
    <row r="578" spans="1:26" ht="12" customHeight="1" x14ac:dyDescent="0.3">
      <c r="A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</row>
    <row r="579" spans="1:26" ht="12" customHeight="1" x14ac:dyDescent="0.3">
      <c r="A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</row>
    <row r="580" spans="1:26" ht="12" customHeight="1" x14ac:dyDescent="0.3">
      <c r="A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</row>
    <row r="581" spans="1:26" ht="12" customHeight="1" x14ac:dyDescent="0.3">
      <c r="A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</row>
    <row r="582" spans="1:26" ht="12" customHeight="1" x14ac:dyDescent="0.3">
      <c r="A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</row>
    <row r="583" spans="1:26" ht="12" customHeight="1" x14ac:dyDescent="0.3">
      <c r="A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</row>
    <row r="584" spans="1:26" ht="12" customHeight="1" x14ac:dyDescent="0.3">
      <c r="A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</row>
    <row r="585" spans="1:26" ht="12" customHeight="1" x14ac:dyDescent="0.3">
      <c r="A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</row>
    <row r="586" spans="1:26" ht="12" customHeight="1" x14ac:dyDescent="0.3">
      <c r="A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</row>
    <row r="587" spans="1:26" ht="12" customHeight="1" x14ac:dyDescent="0.3">
      <c r="A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</row>
    <row r="588" spans="1:26" ht="12" customHeight="1" x14ac:dyDescent="0.3">
      <c r="A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</row>
    <row r="589" spans="1:26" ht="12" customHeight="1" x14ac:dyDescent="0.3">
      <c r="A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</row>
    <row r="590" spans="1:26" ht="12" customHeight="1" x14ac:dyDescent="0.3">
      <c r="A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</row>
    <row r="591" spans="1:26" ht="12" customHeight="1" x14ac:dyDescent="0.3">
      <c r="A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</row>
    <row r="592" spans="1:26" ht="12" customHeight="1" x14ac:dyDescent="0.3">
      <c r="A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</row>
    <row r="593" spans="1:26" ht="12" customHeight="1" x14ac:dyDescent="0.3">
      <c r="A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</row>
    <row r="594" spans="1:26" ht="12" customHeight="1" x14ac:dyDescent="0.3">
      <c r="A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</row>
    <row r="595" spans="1:26" ht="12" customHeight="1" x14ac:dyDescent="0.3">
      <c r="A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</row>
    <row r="596" spans="1:26" ht="12" customHeight="1" x14ac:dyDescent="0.3">
      <c r="A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</row>
    <row r="597" spans="1:26" ht="12" customHeight="1" x14ac:dyDescent="0.3">
      <c r="A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</row>
    <row r="598" spans="1:26" ht="12" customHeight="1" x14ac:dyDescent="0.3">
      <c r="A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</row>
    <row r="599" spans="1:26" ht="12" customHeight="1" x14ac:dyDescent="0.3">
      <c r="A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</row>
    <row r="600" spans="1:26" ht="12" customHeight="1" x14ac:dyDescent="0.3">
      <c r="A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</row>
    <row r="601" spans="1:26" ht="12" customHeight="1" x14ac:dyDescent="0.3">
      <c r="A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</row>
    <row r="602" spans="1:26" ht="12" customHeight="1" x14ac:dyDescent="0.3">
      <c r="A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</row>
    <row r="603" spans="1:26" ht="12" customHeight="1" x14ac:dyDescent="0.3">
      <c r="A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</row>
    <row r="604" spans="1:26" ht="12" customHeight="1" x14ac:dyDescent="0.3">
      <c r="A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</row>
    <row r="605" spans="1:26" ht="12" customHeight="1" x14ac:dyDescent="0.3">
      <c r="A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</row>
    <row r="606" spans="1:26" ht="12" customHeight="1" x14ac:dyDescent="0.3">
      <c r="A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</row>
    <row r="607" spans="1:26" ht="12" customHeight="1" x14ac:dyDescent="0.3">
      <c r="A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</row>
    <row r="608" spans="1:26" ht="12" customHeight="1" x14ac:dyDescent="0.3">
      <c r="A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</row>
    <row r="609" spans="1:26" ht="12" customHeight="1" x14ac:dyDescent="0.3">
      <c r="A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</row>
    <row r="610" spans="1:26" ht="12" customHeight="1" x14ac:dyDescent="0.3">
      <c r="A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</row>
    <row r="611" spans="1:26" ht="12" customHeight="1" x14ac:dyDescent="0.3">
      <c r="A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</row>
    <row r="612" spans="1:26" ht="12" customHeight="1" x14ac:dyDescent="0.3">
      <c r="A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</row>
    <row r="613" spans="1:26" ht="12" customHeight="1" x14ac:dyDescent="0.3">
      <c r="A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</row>
    <row r="614" spans="1:26" ht="12" customHeight="1" x14ac:dyDescent="0.3">
      <c r="A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</row>
    <row r="615" spans="1:26" ht="12" customHeight="1" x14ac:dyDescent="0.3">
      <c r="A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</row>
    <row r="616" spans="1:26" ht="12" customHeight="1" x14ac:dyDescent="0.3">
      <c r="A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</row>
    <row r="617" spans="1:26" ht="12" customHeight="1" x14ac:dyDescent="0.3">
      <c r="A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</row>
    <row r="618" spans="1:26" ht="12" customHeight="1" x14ac:dyDescent="0.3">
      <c r="A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</row>
    <row r="619" spans="1:26" ht="12" customHeight="1" x14ac:dyDescent="0.3">
      <c r="A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</row>
    <row r="620" spans="1:26" ht="12" customHeight="1" x14ac:dyDescent="0.3">
      <c r="A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</row>
    <row r="621" spans="1:26" ht="12" customHeight="1" x14ac:dyDescent="0.3">
      <c r="A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</row>
    <row r="622" spans="1:26" ht="12" customHeight="1" x14ac:dyDescent="0.3">
      <c r="A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</row>
    <row r="623" spans="1:26" ht="12" customHeight="1" x14ac:dyDescent="0.3">
      <c r="A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</row>
    <row r="624" spans="1:26" ht="12" customHeight="1" x14ac:dyDescent="0.3">
      <c r="A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</row>
    <row r="625" spans="1:26" ht="12" customHeight="1" x14ac:dyDescent="0.3">
      <c r="A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</row>
    <row r="626" spans="1:26" ht="12" customHeight="1" x14ac:dyDescent="0.3">
      <c r="A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</row>
    <row r="627" spans="1:26" ht="12" customHeight="1" x14ac:dyDescent="0.3">
      <c r="A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</row>
    <row r="628" spans="1:26" ht="12" customHeight="1" x14ac:dyDescent="0.3">
      <c r="A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</row>
    <row r="629" spans="1:26" ht="12" customHeight="1" x14ac:dyDescent="0.3">
      <c r="A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</row>
    <row r="630" spans="1:26" ht="12" customHeight="1" x14ac:dyDescent="0.3">
      <c r="A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</row>
    <row r="631" spans="1:26" ht="12" customHeight="1" x14ac:dyDescent="0.3">
      <c r="A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</row>
    <row r="632" spans="1:26" ht="12" customHeight="1" x14ac:dyDescent="0.3">
      <c r="A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</row>
    <row r="633" spans="1:26" ht="12" customHeight="1" x14ac:dyDescent="0.3">
      <c r="A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</row>
    <row r="634" spans="1:26" ht="12" customHeight="1" x14ac:dyDescent="0.3">
      <c r="A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</row>
    <row r="635" spans="1:26" ht="12" customHeight="1" x14ac:dyDescent="0.3">
      <c r="A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</row>
    <row r="636" spans="1:26" ht="12" customHeight="1" x14ac:dyDescent="0.3">
      <c r="A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</row>
    <row r="637" spans="1:26" ht="12" customHeight="1" x14ac:dyDescent="0.3">
      <c r="A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</row>
    <row r="638" spans="1:26" ht="12" customHeight="1" x14ac:dyDescent="0.3">
      <c r="A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</row>
    <row r="639" spans="1:26" ht="12" customHeight="1" x14ac:dyDescent="0.3">
      <c r="A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</row>
    <row r="640" spans="1:26" ht="12" customHeight="1" x14ac:dyDescent="0.3">
      <c r="A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</row>
    <row r="641" spans="1:26" ht="12" customHeight="1" x14ac:dyDescent="0.3">
      <c r="A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</row>
    <row r="642" spans="1:26" ht="12" customHeight="1" x14ac:dyDescent="0.3">
      <c r="A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</row>
    <row r="643" spans="1:26" ht="12" customHeight="1" x14ac:dyDescent="0.3">
      <c r="A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</row>
    <row r="644" spans="1:26" ht="12" customHeight="1" x14ac:dyDescent="0.3">
      <c r="A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</row>
    <row r="645" spans="1:26" ht="12" customHeight="1" x14ac:dyDescent="0.3">
      <c r="A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</row>
    <row r="646" spans="1:26" ht="12" customHeight="1" x14ac:dyDescent="0.3">
      <c r="A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</row>
    <row r="647" spans="1:26" ht="12" customHeight="1" x14ac:dyDescent="0.3">
      <c r="A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</row>
    <row r="648" spans="1:26" ht="12" customHeight="1" x14ac:dyDescent="0.3">
      <c r="A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</row>
    <row r="649" spans="1:26" ht="12" customHeight="1" x14ac:dyDescent="0.3">
      <c r="A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</row>
    <row r="650" spans="1:26" ht="12" customHeight="1" x14ac:dyDescent="0.3">
      <c r="A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</row>
    <row r="651" spans="1:26" ht="12" customHeight="1" x14ac:dyDescent="0.3">
      <c r="A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</row>
    <row r="652" spans="1:26" ht="12" customHeight="1" x14ac:dyDescent="0.3">
      <c r="A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</row>
    <row r="653" spans="1:26" ht="12" customHeight="1" x14ac:dyDescent="0.3">
      <c r="A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</row>
    <row r="654" spans="1:26" ht="12" customHeight="1" x14ac:dyDescent="0.3">
      <c r="A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</row>
    <row r="655" spans="1:26" ht="12" customHeight="1" x14ac:dyDescent="0.3">
      <c r="A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</row>
    <row r="656" spans="1:26" ht="12" customHeight="1" x14ac:dyDescent="0.3">
      <c r="A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</row>
    <row r="657" spans="1:26" ht="12" customHeight="1" x14ac:dyDescent="0.3">
      <c r="A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</row>
    <row r="658" spans="1:26" ht="12" customHeight="1" x14ac:dyDescent="0.3">
      <c r="A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</row>
    <row r="659" spans="1:26" ht="12" customHeight="1" x14ac:dyDescent="0.3">
      <c r="A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</row>
    <row r="660" spans="1:26" ht="12" customHeight="1" x14ac:dyDescent="0.3">
      <c r="A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</row>
    <row r="661" spans="1:26" ht="12" customHeight="1" x14ac:dyDescent="0.3">
      <c r="A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</row>
    <row r="662" spans="1:26" ht="12" customHeight="1" x14ac:dyDescent="0.3">
      <c r="A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</row>
    <row r="663" spans="1:26" ht="12" customHeight="1" x14ac:dyDescent="0.3">
      <c r="A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</row>
    <row r="664" spans="1:26" ht="12" customHeight="1" x14ac:dyDescent="0.3">
      <c r="A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</row>
    <row r="665" spans="1:26" ht="12" customHeight="1" x14ac:dyDescent="0.3">
      <c r="A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</row>
    <row r="666" spans="1:26" ht="12" customHeight="1" x14ac:dyDescent="0.3">
      <c r="A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</row>
    <row r="667" spans="1:26" ht="12" customHeight="1" x14ac:dyDescent="0.3">
      <c r="A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</row>
    <row r="668" spans="1:26" ht="12" customHeight="1" x14ac:dyDescent="0.3">
      <c r="A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</row>
    <row r="669" spans="1:26" ht="12" customHeight="1" x14ac:dyDescent="0.3">
      <c r="A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</row>
    <row r="670" spans="1:26" ht="12" customHeight="1" x14ac:dyDescent="0.3">
      <c r="A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</row>
    <row r="671" spans="1:26" ht="12" customHeight="1" x14ac:dyDescent="0.3">
      <c r="A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</row>
    <row r="672" spans="1:26" ht="12" customHeight="1" x14ac:dyDescent="0.3">
      <c r="A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</row>
    <row r="673" spans="1:26" ht="12" customHeight="1" x14ac:dyDescent="0.3">
      <c r="A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</row>
    <row r="674" spans="1:26" ht="12" customHeight="1" x14ac:dyDescent="0.3">
      <c r="A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</row>
    <row r="675" spans="1:26" ht="12" customHeight="1" x14ac:dyDescent="0.3">
      <c r="A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</row>
    <row r="676" spans="1:26" ht="12" customHeight="1" x14ac:dyDescent="0.3">
      <c r="A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</row>
    <row r="677" spans="1:26" ht="12" customHeight="1" x14ac:dyDescent="0.3">
      <c r="A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</row>
    <row r="678" spans="1:26" ht="12" customHeight="1" x14ac:dyDescent="0.3">
      <c r="A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</row>
    <row r="679" spans="1:26" ht="12" customHeight="1" x14ac:dyDescent="0.3">
      <c r="A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</row>
    <row r="680" spans="1:26" ht="12" customHeight="1" x14ac:dyDescent="0.3">
      <c r="A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</row>
    <row r="681" spans="1:26" ht="12" customHeight="1" x14ac:dyDescent="0.3">
      <c r="A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</row>
    <row r="682" spans="1:26" ht="12" customHeight="1" x14ac:dyDescent="0.3">
      <c r="A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</row>
    <row r="683" spans="1:26" ht="12" customHeight="1" x14ac:dyDescent="0.3">
      <c r="A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</row>
    <row r="684" spans="1:26" ht="12" customHeight="1" x14ac:dyDescent="0.3">
      <c r="A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</row>
    <row r="685" spans="1:26" ht="12" customHeight="1" x14ac:dyDescent="0.3">
      <c r="A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</row>
    <row r="686" spans="1:26" ht="12" customHeight="1" x14ac:dyDescent="0.3">
      <c r="A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</row>
    <row r="687" spans="1:26" ht="12" customHeight="1" x14ac:dyDescent="0.3">
      <c r="A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</row>
    <row r="688" spans="1:26" ht="12" customHeight="1" x14ac:dyDescent="0.3">
      <c r="A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</row>
    <row r="689" spans="1:26" ht="12" customHeight="1" x14ac:dyDescent="0.3">
      <c r="A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</row>
    <row r="690" spans="1:26" ht="12" customHeight="1" x14ac:dyDescent="0.3">
      <c r="A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</row>
    <row r="691" spans="1:26" ht="12" customHeight="1" x14ac:dyDescent="0.3">
      <c r="A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</row>
    <row r="692" spans="1:26" ht="12" customHeight="1" x14ac:dyDescent="0.3">
      <c r="A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</row>
    <row r="693" spans="1:26" ht="12" customHeight="1" x14ac:dyDescent="0.3">
      <c r="A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</row>
    <row r="694" spans="1:26" ht="12" customHeight="1" x14ac:dyDescent="0.3">
      <c r="A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</row>
    <row r="695" spans="1:26" ht="12" customHeight="1" x14ac:dyDescent="0.3">
      <c r="A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</row>
    <row r="696" spans="1:26" ht="12" customHeight="1" x14ac:dyDescent="0.3">
      <c r="A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</row>
    <row r="697" spans="1:26" ht="12" customHeight="1" x14ac:dyDescent="0.3">
      <c r="A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</row>
    <row r="698" spans="1:26" ht="12" customHeight="1" x14ac:dyDescent="0.3">
      <c r="A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</row>
    <row r="699" spans="1:26" ht="12" customHeight="1" x14ac:dyDescent="0.3">
      <c r="A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</row>
    <row r="700" spans="1:26" ht="12" customHeight="1" x14ac:dyDescent="0.3">
      <c r="A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</row>
    <row r="701" spans="1:26" ht="12" customHeight="1" x14ac:dyDescent="0.3">
      <c r="A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</row>
    <row r="702" spans="1:26" ht="12" customHeight="1" x14ac:dyDescent="0.3">
      <c r="A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</row>
    <row r="703" spans="1:26" ht="12" customHeight="1" x14ac:dyDescent="0.3">
      <c r="A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</row>
    <row r="704" spans="1:26" ht="12" customHeight="1" x14ac:dyDescent="0.3">
      <c r="A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</row>
    <row r="705" spans="1:26" ht="12" customHeight="1" x14ac:dyDescent="0.3">
      <c r="A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</row>
    <row r="706" spans="1:26" ht="12" customHeight="1" x14ac:dyDescent="0.3">
      <c r="A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</row>
    <row r="707" spans="1:26" ht="12" customHeight="1" x14ac:dyDescent="0.3">
      <c r="A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</row>
    <row r="708" spans="1:26" ht="12" customHeight="1" x14ac:dyDescent="0.3">
      <c r="A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</row>
    <row r="709" spans="1:26" ht="12" customHeight="1" x14ac:dyDescent="0.3">
      <c r="A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</row>
    <row r="710" spans="1:26" ht="12" customHeight="1" x14ac:dyDescent="0.3">
      <c r="A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</row>
    <row r="711" spans="1:26" ht="12" customHeight="1" x14ac:dyDescent="0.3">
      <c r="A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</row>
    <row r="712" spans="1:26" ht="12" customHeight="1" x14ac:dyDescent="0.3">
      <c r="A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</row>
    <row r="713" spans="1:26" ht="12" customHeight="1" x14ac:dyDescent="0.3">
      <c r="A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</row>
    <row r="714" spans="1:26" ht="12" customHeight="1" x14ac:dyDescent="0.3">
      <c r="A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</row>
    <row r="715" spans="1:26" ht="12" customHeight="1" x14ac:dyDescent="0.3">
      <c r="A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</row>
    <row r="716" spans="1:26" ht="12" customHeight="1" x14ac:dyDescent="0.3">
      <c r="A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</row>
    <row r="717" spans="1:26" ht="12" customHeight="1" x14ac:dyDescent="0.3">
      <c r="A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</row>
    <row r="718" spans="1:26" ht="12" customHeight="1" x14ac:dyDescent="0.3">
      <c r="A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</row>
    <row r="719" spans="1:26" ht="12" customHeight="1" x14ac:dyDescent="0.3">
      <c r="A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</row>
    <row r="720" spans="1:26" ht="12" customHeight="1" x14ac:dyDescent="0.3">
      <c r="A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</row>
    <row r="721" spans="1:26" ht="12" customHeight="1" x14ac:dyDescent="0.3">
      <c r="A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</row>
    <row r="722" spans="1:26" ht="12" customHeight="1" x14ac:dyDescent="0.3">
      <c r="A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</row>
    <row r="723" spans="1:26" ht="12" customHeight="1" x14ac:dyDescent="0.3">
      <c r="A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</row>
    <row r="724" spans="1:26" ht="12" customHeight="1" x14ac:dyDescent="0.3">
      <c r="A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</row>
    <row r="725" spans="1:26" ht="12" customHeight="1" x14ac:dyDescent="0.3">
      <c r="A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</row>
    <row r="726" spans="1:26" ht="12" customHeight="1" x14ac:dyDescent="0.3">
      <c r="A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</row>
    <row r="727" spans="1:26" ht="12" customHeight="1" x14ac:dyDescent="0.3">
      <c r="A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</row>
    <row r="728" spans="1:26" ht="12" customHeight="1" x14ac:dyDescent="0.3">
      <c r="A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</row>
    <row r="729" spans="1:26" ht="12" customHeight="1" x14ac:dyDescent="0.3">
      <c r="A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</row>
    <row r="730" spans="1:26" ht="12" customHeight="1" x14ac:dyDescent="0.3">
      <c r="A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</row>
    <row r="731" spans="1:26" ht="12" customHeight="1" x14ac:dyDescent="0.3">
      <c r="A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</row>
    <row r="732" spans="1:26" ht="12" customHeight="1" x14ac:dyDescent="0.3">
      <c r="A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</row>
    <row r="733" spans="1:26" ht="12" customHeight="1" x14ac:dyDescent="0.3">
      <c r="A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</row>
    <row r="734" spans="1:26" ht="12" customHeight="1" x14ac:dyDescent="0.3">
      <c r="A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</row>
    <row r="735" spans="1:26" ht="12" customHeight="1" x14ac:dyDescent="0.3">
      <c r="A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</row>
    <row r="736" spans="1:26" ht="12" customHeight="1" x14ac:dyDescent="0.3">
      <c r="A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</row>
    <row r="737" spans="1:26" ht="12" customHeight="1" x14ac:dyDescent="0.3">
      <c r="A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</row>
    <row r="738" spans="1:26" ht="12" customHeight="1" x14ac:dyDescent="0.3">
      <c r="A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</row>
    <row r="739" spans="1:26" ht="12" customHeight="1" x14ac:dyDescent="0.3">
      <c r="A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</row>
    <row r="740" spans="1:26" ht="12" customHeight="1" x14ac:dyDescent="0.3">
      <c r="A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</row>
    <row r="741" spans="1:26" ht="12" customHeight="1" x14ac:dyDescent="0.3">
      <c r="A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</row>
    <row r="742" spans="1:26" ht="12" customHeight="1" x14ac:dyDescent="0.3">
      <c r="A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</row>
    <row r="743" spans="1:26" ht="12" customHeight="1" x14ac:dyDescent="0.3">
      <c r="A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</row>
    <row r="744" spans="1:26" ht="12" customHeight="1" x14ac:dyDescent="0.3">
      <c r="A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</row>
    <row r="745" spans="1:26" ht="12" customHeight="1" x14ac:dyDescent="0.3">
      <c r="A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</row>
    <row r="746" spans="1:26" ht="12" customHeight="1" x14ac:dyDescent="0.3">
      <c r="A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</row>
    <row r="747" spans="1:26" ht="12" customHeight="1" x14ac:dyDescent="0.3">
      <c r="A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</row>
    <row r="748" spans="1:26" ht="12" customHeight="1" x14ac:dyDescent="0.3">
      <c r="A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</row>
    <row r="749" spans="1:26" ht="12" customHeight="1" x14ac:dyDescent="0.3">
      <c r="A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</row>
    <row r="750" spans="1:26" ht="12" customHeight="1" x14ac:dyDescent="0.3">
      <c r="A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</row>
    <row r="751" spans="1:26" ht="12" customHeight="1" x14ac:dyDescent="0.3">
      <c r="A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</row>
    <row r="752" spans="1:26" ht="12" customHeight="1" x14ac:dyDescent="0.3">
      <c r="A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</row>
    <row r="753" spans="1:26" ht="12" customHeight="1" x14ac:dyDescent="0.3">
      <c r="A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</row>
    <row r="754" spans="1:26" ht="12" customHeight="1" x14ac:dyDescent="0.3">
      <c r="A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</row>
    <row r="755" spans="1:26" ht="12" customHeight="1" x14ac:dyDescent="0.3">
      <c r="A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</row>
    <row r="756" spans="1:26" ht="12" customHeight="1" x14ac:dyDescent="0.3">
      <c r="A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</row>
    <row r="757" spans="1:26" ht="12" customHeight="1" x14ac:dyDescent="0.3">
      <c r="A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</row>
    <row r="758" spans="1:26" ht="12" customHeight="1" x14ac:dyDescent="0.3">
      <c r="A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</row>
    <row r="759" spans="1:26" ht="12" customHeight="1" x14ac:dyDescent="0.3">
      <c r="A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</row>
    <row r="760" spans="1:26" ht="12" customHeight="1" x14ac:dyDescent="0.3">
      <c r="A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</row>
    <row r="761" spans="1:26" ht="12" customHeight="1" x14ac:dyDescent="0.3">
      <c r="A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</row>
    <row r="762" spans="1:26" ht="12" customHeight="1" x14ac:dyDescent="0.3">
      <c r="A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</row>
    <row r="763" spans="1:26" ht="12" customHeight="1" x14ac:dyDescent="0.3">
      <c r="A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</row>
    <row r="764" spans="1:26" ht="12" customHeight="1" x14ac:dyDescent="0.3">
      <c r="A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</row>
    <row r="765" spans="1:26" ht="12" customHeight="1" x14ac:dyDescent="0.3">
      <c r="A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</row>
    <row r="766" spans="1:26" ht="12" customHeight="1" x14ac:dyDescent="0.3">
      <c r="A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</row>
    <row r="767" spans="1:26" ht="12" customHeight="1" x14ac:dyDescent="0.3">
      <c r="A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</row>
    <row r="768" spans="1:26" ht="12" customHeight="1" x14ac:dyDescent="0.3">
      <c r="A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</row>
    <row r="769" spans="1:26" ht="12" customHeight="1" x14ac:dyDescent="0.3">
      <c r="A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</row>
    <row r="770" spans="1:26" ht="12" customHeight="1" x14ac:dyDescent="0.3">
      <c r="A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</row>
    <row r="771" spans="1:26" ht="12" customHeight="1" x14ac:dyDescent="0.3">
      <c r="A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</row>
    <row r="772" spans="1:26" ht="12" customHeight="1" x14ac:dyDescent="0.3">
      <c r="A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</row>
    <row r="773" spans="1:26" ht="12" customHeight="1" x14ac:dyDescent="0.3">
      <c r="A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</row>
    <row r="774" spans="1:26" ht="12" customHeight="1" x14ac:dyDescent="0.3">
      <c r="A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</row>
    <row r="775" spans="1:26" ht="12" customHeight="1" x14ac:dyDescent="0.3">
      <c r="A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</row>
    <row r="776" spans="1:26" ht="12" customHeight="1" x14ac:dyDescent="0.3">
      <c r="A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</row>
    <row r="777" spans="1:26" ht="12" customHeight="1" x14ac:dyDescent="0.3">
      <c r="A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</row>
    <row r="778" spans="1:26" ht="12" customHeight="1" x14ac:dyDescent="0.3">
      <c r="A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</row>
    <row r="779" spans="1:26" ht="12" customHeight="1" x14ac:dyDescent="0.3">
      <c r="A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</row>
    <row r="780" spans="1:26" ht="12" customHeight="1" x14ac:dyDescent="0.3">
      <c r="A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</row>
    <row r="781" spans="1:26" ht="12" customHeight="1" x14ac:dyDescent="0.3">
      <c r="A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</row>
    <row r="782" spans="1:26" ht="12" customHeight="1" x14ac:dyDescent="0.3">
      <c r="A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</row>
    <row r="783" spans="1:26" ht="12" customHeight="1" x14ac:dyDescent="0.3">
      <c r="A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</row>
    <row r="784" spans="1:26" ht="12" customHeight="1" x14ac:dyDescent="0.3">
      <c r="A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</row>
    <row r="785" spans="1:26" ht="12" customHeight="1" x14ac:dyDescent="0.3">
      <c r="A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</row>
    <row r="786" spans="1:26" ht="12" customHeight="1" x14ac:dyDescent="0.3">
      <c r="A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</row>
    <row r="787" spans="1:26" ht="12" customHeight="1" x14ac:dyDescent="0.3">
      <c r="A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</row>
    <row r="788" spans="1:26" ht="12" customHeight="1" x14ac:dyDescent="0.3">
      <c r="A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</row>
    <row r="789" spans="1:26" ht="12" customHeight="1" x14ac:dyDescent="0.3">
      <c r="A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</row>
    <row r="790" spans="1:26" ht="12" customHeight="1" x14ac:dyDescent="0.3">
      <c r="A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</row>
    <row r="791" spans="1:26" ht="12" customHeight="1" x14ac:dyDescent="0.3">
      <c r="A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</row>
    <row r="792" spans="1:26" ht="12" customHeight="1" x14ac:dyDescent="0.3">
      <c r="A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</row>
    <row r="793" spans="1:26" ht="12" customHeight="1" x14ac:dyDescent="0.3">
      <c r="A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</row>
    <row r="794" spans="1:26" ht="12" customHeight="1" x14ac:dyDescent="0.3">
      <c r="A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</row>
    <row r="795" spans="1:26" ht="12" customHeight="1" x14ac:dyDescent="0.3">
      <c r="A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</row>
    <row r="796" spans="1:26" ht="12" customHeight="1" x14ac:dyDescent="0.3">
      <c r="A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</row>
    <row r="797" spans="1:26" ht="12" customHeight="1" x14ac:dyDescent="0.3">
      <c r="A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</row>
    <row r="798" spans="1:26" ht="12" customHeight="1" x14ac:dyDescent="0.3">
      <c r="A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</row>
    <row r="799" spans="1:26" ht="12" customHeight="1" x14ac:dyDescent="0.3">
      <c r="A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</row>
    <row r="800" spans="1:26" ht="12" customHeight="1" x14ac:dyDescent="0.3">
      <c r="A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</row>
    <row r="801" spans="1:26" ht="12" customHeight="1" x14ac:dyDescent="0.3">
      <c r="A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</row>
    <row r="802" spans="1:26" ht="12" customHeight="1" x14ac:dyDescent="0.3">
      <c r="A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</row>
    <row r="803" spans="1:26" ht="12" customHeight="1" x14ac:dyDescent="0.3">
      <c r="A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</row>
    <row r="804" spans="1:26" ht="12" customHeight="1" x14ac:dyDescent="0.3">
      <c r="A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</row>
    <row r="805" spans="1:26" ht="12" customHeight="1" x14ac:dyDescent="0.3">
      <c r="A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</row>
    <row r="806" spans="1:26" ht="12" customHeight="1" x14ac:dyDescent="0.3">
      <c r="A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</row>
    <row r="807" spans="1:26" ht="12" customHeight="1" x14ac:dyDescent="0.3">
      <c r="A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</row>
    <row r="808" spans="1:26" ht="12" customHeight="1" x14ac:dyDescent="0.3">
      <c r="A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</row>
    <row r="809" spans="1:26" ht="12" customHeight="1" x14ac:dyDescent="0.3">
      <c r="A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</row>
    <row r="810" spans="1:26" ht="12" customHeight="1" x14ac:dyDescent="0.3">
      <c r="A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</row>
    <row r="811" spans="1:26" ht="12" customHeight="1" x14ac:dyDescent="0.3">
      <c r="A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</row>
    <row r="812" spans="1:26" ht="12" customHeight="1" x14ac:dyDescent="0.3">
      <c r="A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</row>
    <row r="813" spans="1:26" ht="12" customHeight="1" x14ac:dyDescent="0.3">
      <c r="A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</row>
    <row r="814" spans="1:26" ht="12" customHeight="1" x14ac:dyDescent="0.3">
      <c r="A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</row>
    <row r="815" spans="1:26" ht="12" customHeight="1" x14ac:dyDescent="0.3">
      <c r="A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</row>
    <row r="816" spans="1:26" ht="12" customHeight="1" x14ac:dyDescent="0.3">
      <c r="A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</row>
    <row r="817" spans="1:26" ht="12" customHeight="1" x14ac:dyDescent="0.3">
      <c r="A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</row>
    <row r="818" spans="1:26" ht="12" customHeight="1" x14ac:dyDescent="0.3">
      <c r="A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</row>
    <row r="819" spans="1:26" ht="12" customHeight="1" x14ac:dyDescent="0.3">
      <c r="A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</row>
    <row r="820" spans="1:26" ht="12" customHeight="1" x14ac:dyDescent="0.3">
      <c r="A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</row>
    <row r="821" spans="1:26" ht="12" customHeight="1" x14ac:dyDescent="0.3">
      <c r="A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</row>
    <row r="822" spans="1:26" ht="12" customHeight="1" x14ac:dyDescent="0.3">
      <c r="A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</row>
    <row r="823" spans="1:26" ht="12" customHeight="1" x14ac:dyDescent="0.3">
      <c r="A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</row>
    <row r="824" spans="1:26" ht="12" customHeight="1" x14ac:dyDescent="0.3">
      <c r="A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</row>
    <row r="825" spans="1:26" ht="12" customHeight="1" x14ac:dyDescent="0.3">
      <c r="A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</row>
    <row r="826" spans="1:26" ht="12" customHeight="1" x14ac:dyDescent="0.3">
      <c r="A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</row>
    <row r="827" spans="1:26" ht="12" customHeight="1" x14ac:dyDescent="0.3">
      <c r="A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</row>
    <row r="828" spans="1:26" ht="12" customHeight="1" x14ac:dyDescent="0.3">
      <c r="A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</row>
    <row r="829" spans="1:26" ht="12" customHeight="1" x14ac:dyDescent="0.3">
      <c r="A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</row>
    <row r="830" spans="1:26" ht="12" customHeight="1" x14ac:dyDescent="0.3">
      <c r="A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</row>
    <row r="831" spans="1:26" ht="12" customHeight="1" x14ac:dyDescent="0.3">
      <c r="A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</row>
    <row r="832" spans="1:26" ht="12" customHeight="1" x14ac:dyDescent="0.3">
      <c r="A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</row>
    <row r="833" spans="1:26" ht="12" customHeight="1" x14ac:dyDescent="0.3">
      <c r="A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</row>
    <row r="834" spans="1:26" ht="12" customHeight="1" x14ac:dyDescent="0.3">
      <c r="A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</row>
    <row r="835" spans="1:26" ht="12" customHeight="1" x14ac:dyDescent="0.3">
      <c r="A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</row>
    <row r="836" spans="1:26" ht="12" customHeight="1" x14ac:dyDescent="0.3">
      <c r="A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</row>
    <row r="837" spans="1:26" ht="12" customHeight="1" x14ac:dyDescent="0.3">
      <c r="A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</row>
    <row r="838" spans="1:26" ht="12" customHeight="1" x14ac:dyDescent="0.3">
      <c r="A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</row>
    <row r="839" spans="1:26" ht="12" customHeight="1" x14ac:dyDescent="0.3">
      <c r="A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</row>
    <row r="840" spans="1:26" ht="12" customHeight="1" x14ac:dyDescent="0.3">
      <c r="A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</row>
    <row r="841" spans="1:26" ht="12" customHeight="1" x14ac:dyDescent="0.3">
      <c r="A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</row>
    <row r="842" spans="1:26" ht="12" customHeight="1" x14ac:dyDescent="0.3">
      <c r="A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</row>
    <row r="843" spans="1:26" ht="12" customHeight="1" x14ac:dyDescent="0.3">
      <c r="A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</row>
    <row r="844" spans="1:26" ht="12" customHeight="1" x14ac:dyDescent="0.3">
      <c r="A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</row>
    <row r="845" spans="1:26" ht="12" customHeight="1" x14ac:dyDescent="0.3">
      <c r="A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</row>
    <row r="846" spans="1:26" ht="12" customHeight="1" x14ac:dyDescent="0.3">
      <c r="A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</row>
    <row r="847" spans="1:26" ht="12" customHeight="1" x14ac:dyDescent="0.3">
      <c r="A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</row>
    <row r="848" spans="1:26" ht="12" customHeight="1" x14ac:dyDescent="0.3">
      <c r="A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</row>
    <row r="849" spans="1:26" ht="12" customHeight="1" x14ac:dyDescent="0.3">
      <c r="A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</row>
    <row r="850" spans="1:26" ht="12" customHeight="1" x14ac:dyDescent="0.3">
      <c r="A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</row>
    <row r="851" spans="1:26" ht="12" customHeight="1" x14ac:dyDescent="0.3">
      <c r="A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</row>
    <row r="852" spans="1:26" ht="12" customHeight="1" x14ac:dyDescent="0.3">
      <c r="A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</row>
    <row r="853" spans="1:26" ht="12" customHeight="1" x14ac:dyDescent="0.3">
      <c r="A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</row>
    <row r="854" spans="1:26" ht="12" customHeight="1" x14ac:dyDescent="0.3">
      <c r="A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</row>
    <row r="855" spans="1:26" ht="12" customHeight="1" x14ac:dyDescent="0.3">
      <c r="A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</row>
    <row r="856" spans="1:26" ht="12" customHeight="1" x14ac:dyDescent="0.3">
      <c r="A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</row>
    <row r="857" spans="1:26" ht="12" customHeight="1" x14ac:dyDescent="0.3">
      <c r="A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</row>
    <row r="858" spans="1:26" ht="12" customHeight="1" x14ac:dyDescent="0.3">
      <c r="A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</row>
    <row r="859" spans="1:26" ht="12" customHeight="1" x14ac:dyDescent="0.3">
      <c r="A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</row>
    <row r="860" spans="1:26" ht="12" customHeight="1" x14ac:dyDescent="0.3">
      <c r="A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</row>
    <row r="861" spans="1:26" ht="12" customHeight="1" x14ac:dyDescent="0.3">
      <c r="A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</row>
    <row r="862" spans="1:26" ht="12" customHeight="1" x14ac:dyDescent="0.3">
      <c r="A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</row>
    <row r="863" spans="1:26" ht="12" customHeight="1" x14ac:dyDescent="0.3">
      <c r="A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</row>
    <row r="864" spans="1:26" ht="12" customHeight="1" x14ac:dyDescent="0.3">
      <c r="A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</row>
    <row r="865" spans="1:26" ht="12" customHeight="1" x14ac:dyDescent="0.3">
      <c r="A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</row>
    <row r="866" spans="1:26" ht="12" customHeight="1" x14ac:dyDescent="0.3">
      <c r="A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</row>
    <row r="867" spans="1:26" ht="12" customHeight="1" x14ac:dyDescent="0.3">
      <c r="A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</row>
    <row r="868" spans="1:26" ht="12" customHeight="1" x14ac:dyDescent="0.3">
      <c r="A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</row>
    <row r="869" spans="1:26" ht="12" customHeight="1" x14ac:dyDescent="0.3">
      <c r="A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</row>
    <row r="870" spans="1:26" ht="12" customHeight="1" x14ac:dyDescent="0.3">
      <c r="A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</row>
    <row r="871" spans="1:26" ht="12" customHeight="1" x14ac:dyDescent="0.3">
      <c r="A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</row>
    <row r="872" spans="1:26" ht="12" customHeight="1" x14ac:dyDescent="0.3">
      <c r="A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</row>
    <row r="873" spans="1:26" ht="12" customHeight="1" x14ac:dyDescent="0.3">
      <c r="A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</row>
    <row r="874" spans="1:26" ht="12" customHeight="1" x14ac:dyDescent="0.3">
      <c r="A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</row>
    <row r="875" spans="1:26" ht="12" customHeight="1" x14ac:dyDescent="0.3">
      <c r="A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</row>
    <row r="876" spans="1:26" ht="12" customHeight="1" x14ac:dyDescent="0.3">
      <c r="A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</row>
    <row r="877" spans="1:26" ht="12" customHeight="1" x14ac:dyDescent="0.3">
      <c r="A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</row>
    <row r="878" spans="1:26" ht="12" customHeight="1" x14ac:dyDescent="0.3">
      <c r="A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</row>
    <row r="879" spans="1:26" ht="12" customHeight="1" x14ac:dyDescent="0.3">
      <c r="A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</row>
    <row r="880" spans="1:26" ht="12" customHeight="1" x14ac:dyDescent="0.3">
      <c r="A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</row>
    <row r="881" spans="1:26" ht="12" customHeight="1" x14ac:dyDescent="0.3">
      <c r="A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</row>
    <row r="882" spans="1:26" ht="12" customHeight="1" x14ac:dyDescent="0.3">
      <c r="A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</row>
    <row r="883" spans="1:26" ht="12" customHeight="1" x14ac:dyDescent="0.3">
      <c r="A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</row>
    <row r="884" spans="1:26" ht="12" customHeight="1" x14ac:dyDescent="0.3">
      <c r="A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</row>
    <row r="885" spans="1:26" ht="12" customHeight="1" x14ac:dyDescent="0.3">
      <c r="A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</row>
    <row r="886" spans="1:26" ht="12" customHeight="1" x14ac:dyDescent="0.3">
      <c r="A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</row>
    <row r="887" spans="1:26" ht="12" customHeight="1" x14ac:dyDescent="0.3">
      <c r="A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</row>
    <row r="888" spans="1:26" ht="12" customHeight="1" x14ac:dyDescent="0.3">
      <c r="A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</row>
    <row r="889" spans="1:26" ht="12" customHeight="1" x14ac:dyDescent="0.3">
      <c r="A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</row>
    <row r="890" spans="1:26" ht="12" customHeight="1" x14ac:dyDescent="0.3">
      <c r="A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</row>
    <row r="891" spans="1:26" ht="12" customHeight="1" x14ac:dyDescent="0.3">
      <c r="A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</row>
    <row r="892" spans="1:26" ht="12" customHeight="1" x14ac:dyDescent="0.3">
      <c r="A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</row>
    <row r="893" spans="1:26" ht="12" customHeight="1" x14ac:dyDescent="0.3">
      <c r="A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</row>
    <row r="894" spans="1:26" ht="12" customHeight="1" x14ac:dyDescent="0.3">
      <c r="A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</row>
    <row r="895" spans="1:26" ht="12" customHeight="1" x14ac:dyDescent="0.3">
      <c r="A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</row>
    <row r="896" spans="1:26" ht="12" customHeight="1" x14ac:dyDescent="0.3">
      <c r="A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</row>
    <row r="897" spans="1:26" ht="12" customHeight="1" x14ac:dyDescent="0.3">
      <c r="A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</row>
    <row r="898" spans="1:26" ht="12" customHeight="1" x14ac:dyDescent="0.3">
      <c r="A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</row>
    <row r="899" spans="1:26" ht="12" customHeight="1" x14ac:dyDescent="0.3">
      <c r="A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</row>
    <row r="900" spans="1:26" ht="12" customHeight="1" x14ac:dyDescent="0.3">
      <c r="A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</row>
    <row r="901" spans="1:26" ht="12" customHeight="1" x14ac:dyDescent="0.3">
      <c r="A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</row>
    <row r="902" spans="1:26" ht="12" customHeight="1" x14ac:dyDescent="0.3">
      <c r="A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</row>
    <row r="903" spans="1:26" ht="12" customHeight="1" x14ac:dyDescent="0.3">
      <c r="A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</row>
    <row r="904" spans="1:26" ht="12" customHeight="1" x14ac:dyDescent="0.3">
      <c r="A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</row>
    <row r="905" spans="1:26" ht="12" customHeight="1" x14ac:dyDescent="0.3">
      <c r="A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</row>
    <row r="906" spans="1:26" ht="12" customHeight="1" x14ac:dyDescent="0.3">
      <c r="A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</row>
    <row r="907" spans="1:26" ht="12" customHeight="1" x14ac:dyDescent="0.3">
      <c r="A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</row>
    <row r="908" spans="1:26" ht="12" customHeight="1" x14ac:dyDescent="0.3">
      <c r="A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</row>
    <row r="909" spans="1:26" ht="12" customHeight="1" x14ac:dyDescent="0.3">
      <c r="A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</row>
    <row r="910" spans="1:26" ht="12" customHeight="1" x14ac:dyDescent="0.3">
      <c r="A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</row>
    <row r="911" spans="1:26" ht="12" customHeight="1" x14ac:dyDescent="0.3">
      <c r="A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</row>
    <row r="912" spans="1:26" ht="12" customHeight="1" x14ac:dyDescent="0.3">
      <c r="A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</row>
    <row r="913" spans="1:26" ht="12" customHeight="1" x14ac:dyDescent="0.3">
      <c r="A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</row>
    <row r="914" spans="1:26" ht="12" customHeight="1" x14ac:dyDescent="0.3">
      <c r="A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</row>
    <row r="915" spans="1:26" ht="12" customHeight="1" x14ac:dyDescent="0.3">
      <c r="A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</row>
    <row r="916" spans="1:26" ht="12" customHeight="1" x14ac:dyDescent="0.3">
      <c r="A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</row>
    <row r="917" spans="1:26" ht="12" customHeight="1" x14ac:dyDescent="0.3">
      <c r="A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</row>
    <row r="918" spans="1:26" ht="12" customHeight="1" x14ac:dyDescent="0.3">
      <c r="A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</row>
    <row r="919" spans="1:26" ht="12" customHeight="1" x14ac:dyDescent="0.3">
      <c r="A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</row>
    <row r="920" spans="1:26" ht="12" customHeight="1" x14ac:dyDescent="0.3">
      <c r="A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</row>
    <row r="921" spans="1:26" ht="12" customHeight="1" x14ac:dyDescent="0.3">
      <c r="A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</row>
    <row r="922" spans="1:26" ht="12" customHeight="1" x14ac:dyDescent="0.3">
      <c r="A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</row>
    <row r="923" spans="1:26" ht="12" customHeight="1" x14ac:dyDescent="0.3">
      <c r="A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</row>
    <row r="924" spans="1:26" ht="12" customHeight="1" x14ac:dyDescent="0.3">
      <c r="A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</row>
    <row r="925" spans="1:26" ht="12" customHeight="1" x14ac:dyDescent="0.3">
      <c r="A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</row>
    <row r="926" spans="1:26" ht="12" customHeight="1" x14ac:dyDescent="0.3">
      <c r="A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</row>
    <row r="927" spans="1:26" ht="12" customHeight="1" x14ac:dyDescent="0.3">
      <c r="A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</row>
    <row r="928" spans="1:26" ht="12" customHeight="1" x14ac:dyDescent="0.3">
      <c r="A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</row>
    <row r="929" spans="1:26" ht="12" customHeight="1" x14ac:dyDescent="0.3">
      <c r="A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</row>
    <row r="930" spans="1:26" ht="12" customHeight="1" x14ac:dyDescent="0.3">
      <c r="A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</row>
    <row r="931" spans="1:26" ht="12" customHeight="1" x14ac:dyDescent="0.3">
      <c r="A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</row>
    <row r="932" spans="1:26" ht="12" customHeight="1" x14ac:dyDescent="0.3">
      <c r="A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</row>
    <row r="933" spans="1:26" ht="12" customHeight="1" x14ac:dyDescent="0.3">
      <c r="A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</row>
    <row r="934" spans="1:26" ht="12" customHeight="1" x14ac:dyDescent="0.3">
      <c r="A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</row>
    <row r="935" spans="1:26" ht="12" customHeight="1" x14ac:dyDescent="0.3">
      <c r="A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</row>
    <row r="936" spans="1:26" ht="12" customHeight="1" x14ac:dyDescent="0.3">
      <c r="A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</row>
    <row r="937" spans="1:26" ht="12" customHeight="1" x14ac:dyDescent="0.3">
      <c r="A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</row>
    <row r="938" spans="1:26" ht="12" customHeight="1" x14ac:dyDescent="0.3">
      <c r="A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</row>
    <row r="939" spans="1:26" ht="12" customHeight="1" x14ac:dyDescent="0.3">
      <c r="A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</row>
    <row r="940" spans="1:26" ht="12" customHeight="1" x14ac:dyDescent="0.3">
      <c r="A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</row>
    <row r="941" spans="1:26" ht="12" customHeight="1" x14ac:dyDescent="0.3">
      <c r="A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</row>
    <row r="942" spans="1:26" ht="12" customHeight="1" x14ac:dyDescent="0.3">
      <c r="A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</row>
    <row r="943" spans="1:26" ht="12" customHeight="1" x14ac:dyDescent="0.3">
      <c r="A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</row>
    <row r="944" spans="1:26" ht="12" customHeight="1" x14ac:dyDescent="0.3">
      <c r="A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</row>
    <row r="945" spans="1:26" ht="12" customHeight="1" x14ac:dyDescent="0.3">
      <c r="A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</row>
    <row r="946" spans="1:26" ht="12" customHeight="1" x14ac:dyDescent="0.3">
      <c r="A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</row>
    <row r="947" spans="1:26" ht="12" customHeight="1" x14ac:dyDescent="0.3">
      <c r="A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</row>
    <row r="948" spans="1:26" ht="12" customHeight="1" x14ac:dyDescent="0.3">
      <c r="A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</row>
    <row r="949" spans="1:26" ht="12" customHeight="1" x14ac:dyDescent="0.3">
      <c r="A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</row>
    <row r="950" spans="1:26" ht="12" customHeight="1" x14ac:dyDescent="0.3">
      <c r="A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</row>
    <row r="951" spans="1:26" ht="12" customHeight="1" x14ac:dyDescent="0.3">
      <c r="A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</row>
    <row r="952" spans="1:26" ht="12" customHeight="1" x14ac:dyDescent="0.3">
      <c r="A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</row>
    <row r="953" spans="1:26" ht="12" customHeight="1" x14ac:dyDescent="0.3">
      <c r="A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</row>
    <row r="954" spans="1:26" ht="12" customHeight="1" x14ac:dyDescent="0.3">
      <c r="A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</row>
    <row r="955" spans="1:26" ht="12" customHeight="1" x14ac:dyDescent="0.3">
      <c r="A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</row>
    <row r="956" spans="1:26" ht="12" customHeight="1" x14ac:dyDescent="0.3">
      <c r="A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</row>
    <row r="957" spans="1:26" ht="12" customHeight="1" x14ac:dyDescent="0.3">
      <c r="A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</row>
    <row r="958" spans="1:26" ht="12" customHeight="1" x14ac:dyDescent="0.3">
      <c r="A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</row>
    <row r="959" spans="1:26" ht="12" customHeight="1" x14ac:dyDescent="0.3">
      <c r="A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</row>
    <row r="960" spans="1:26" ht="12" customHeight="1" x14ac:dyDescent="0.3">
      <c r="A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</row>
    <row r="961" spans="1:26" ht="12" customHeight="1" x14ac:dyDescent="0.3">
      <c r="A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</row>
    <row r="962" spans="1:26" ht="12" customHeight="1" x14ac:dyDescent="0.3">
      <c r="A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</row>
    <row r="963" spans="1:26" ht="12" customHeight="1" x14ac:dyDescent="0.3">
      <c r="A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</row>
    <row r="964" spans="1:26" ht="12" customHeight="1" x14ac:dyDescent="0.3">
      <c r="A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</row>
    <row r="965" spans="1:26" ht="12" customHeight="1" x14ac:dyDescent="0.3">
      <c r="A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</row>
    <row r="966" spans="1:26" ht="12" customHeight="1" x14ac:dyDescent="0.3">
      <c r="A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</row>
    <row r="967" spans="1:26" ht="12" customHeight="1" x14ac:dyDescent="0.3">
      <c r="A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</row>
    <row r="968" spans="1:26" ht="12" customHeight="1" x14ac:dyDescent="0.3">
      <c r="A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</row>
    <row r="969" spans="1:26" ht="12" customHeight="1" x14ac:dyDescent="0.3">
      <c r="A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</row>
    <row r="970" spans="1:26" ht="12" customHeight="1" x14ac:dyDescent="0.3">
      <c r="A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</row>
    <row r="971" spans="1:26" ht="12" customHeight="1" x14ac:dyDescent="0.3">
      <c r="A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</row>
    <row r="972" spans="1:26" ht="12" customHeight="1" x14ac:dyDescent="0.3">
      <c r="A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</row>
    <row r="973" spans="1:26" ht="12" customHeight="1" x14ac:dyDescent="0.3">
      <c r="A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</row>
    <row r="974" spans="1:26" ht="12" customHeight="1" x14ac:dyDescent="0.3">
      <c r="A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</row>
    <row r="975" spans="1:26" ht="12" customHeight="1" x14ac:dyDescent="0.3">
      <c r="A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</row>
    <row r="976" spans="1:26" ht="12" customHeight="1" x14ac:dyDescent="0.3">
      <c r="A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</row>
    <row r="977" spans="1:26" ht="12" customHeight="1" x14ac:dyDescent="0.3">
      <c r="A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</row>
    <row r="978" spans="1:26" ht="12" customHeight="1" x14ac:dyDescent="0.3">
      <c r="A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</row>
    <row r="979" spans="1:26" ht="12" customHeight="1" x14ac:dyDescent="0.3">
      <c r="A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</row>
    <row r="980" spans="1:26" ht="12" customHeight="1" x14ac:dyDescent="0.3">
      <c r="A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</row>
    <row r="981" spans="1:26" ht="12" customHeight="1" x14ac:dyDescent="0.3">
      <c r="A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</row>
    <row r="982" spans="1:26" ht="12" customHeight="1" x14ac:dyDescent="0.3">
      <c r="A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</row>
    <row r="983" spans="1:26" ht="12" customHeight="1" x14ac:dyDescent="0.3">
      <c r="A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</row>
    <row r="984" spans="1:26" ht="12" customHeight="1" x14ac:dyDescent="0.3">
      <c r="A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</row>
    <row r="985" spans="1:26" ht="12" customHeight="1" x14ac:dyDescent="0.3">
      <c r="A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</row>
    <row r="986" spans="1:26" ht="12" customHeight="1" x14ac:dyDescent="0.3">
      <c r="A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</row>
    <row r="987" spans="1:26" ht="12" customHeight="1" x14ac:dyDescent="0.3">
      <c r="A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</row>
    <row r="988" spans="1:26" ht="12" customHeight="1" x14ac:dyDescent="0.3">
      <c r="A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</row>
    <row r="989" spans="1:26" ht="12" customHeight="1" x14ac:dyDescent="0.3">
      <c r="A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</row>
    <row r="990" spans="1:26" ht="12" customHeight="1" x14ac:dyDescent="0.3">
      <c r="A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</row>
    <row r="991" spans="1:26" ht="12" customHeight="1" x14ac:dyDescent="0.3">
      <c r="A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</row>
    <row r="992" spans="1:26" ht="12" customHeight="1" x14ac:dyDescent="0.3">
      <c r="A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</row>
    <row r="993" spans="1:26" ht="12" customHeight="1" x14ac:dyDescent="0.3">
      <c r="A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</row>
    <row r="994" spans="1:26" ht="12" customHeight="1" x14ac:dyDescent="0.3">
      <c r="A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</row>
    <row r="995" spans="1:26" ht="12" customHeight="1" x14ac:dyDescent="0.3">
      <c r="A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</row>
    <row r="996" spans="1:26" ht="12" customHeight="1" x14ac:dyDescent="0.3">
      <c r="A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</row>
    <row r="997" spans="1:26" ht="12" customHeight="1" x14ac:dyDescent="0.3">
      <c r="A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</row>
    <row r="998" spans="1:26" ht="12" customHeight="1" x14ac:dyDescent="0.3">
      <c r="A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</row>
    <row r="999" spans="1:26" ht="12" customHeight="1" x14ac:dyDescent="0.3">
      <c r="A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</row>
    <row r="1000" spans="1:26" ht="12" customHeight="1" x14ac:dyDescent="0.3">
      <c r="A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</row>
  </sheetData>
  <sheetProtection algorithmName="SHA-512" hashValue="2XlK0mTMP88wrQfChYUrFBLmPRW47w+HjyXHrgFonh5IbdpHjrjrb0YKPMh/UNYbF3LU1tco+oITUnUwxdueLw==" saltValue="PG16wlBWbsWShy/7fDilHg==" spinCount="100000" sheet="1" objects="1" scenarios="1"/>
  <pageMargins left="0.7" right="0.7" top="0.75" bottom="0.75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1:Z1000"/>
  <sheetViews>
    <sheetView workbookViewId="0">
      <selection sqref="A1:D1"/>
    </sheetView>
  </sheetViews>
  <sheetFormatPr baseColWidth="10" defaultColWidth="14.3984375" defaultRowHeight="15" customHeight="1" x14ac:dyDescent="0.3"/>
  <cols>
    <col min="1" max="1" width="34" customWidth="1"/>
    <col min="2" max="2" width="19.8984375" customWidth="1"/>
    <col min="3" max="4" width="9.59765625" customWidth="1"/>
    <col min="5" max="5" width="13.59765625" customWidth="1"/>
    <col min="6" max="6" width="18.296875" customWidth="1"/>
    <col min="7" max="7" width="18" customWidth="1"/>
    <col min="8" max="8" width="18.3984375" customWidth="1"/>
    <col min="9" max="9" width="48.69921875" customWidth="1"/>
    <col min="10" max="19" width="12.59765625" customWidth="1"/>
    <col min="20" max="26" width="10" customWidth="1"/>
  </cols>
  <sheetData>
    <row r="1" spans="1:26" ht="18" customHeight="1" x14ac:dyDescent="0.3">
      <c r="A1" s="967" t="s">
        <v>491</v>
      </c>
      <c r="B1" s="951"/>
      <c r="C1" s="951"/>
      <c r="D1" s="951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</row>
    <row r="2" spans="1:26" ht="38.25" customHeight="1" x14ac:dyDescent="0.3">
      <c r="A2" s="634"/>
      <c r="B2" s="634"/>
      <c r="C2" s="634"/>
      <c r="D2" s="634"/>
      <c r="E2" s="635" t="s">
        <v>492</v>
      </c>
      <c r="F2" s="635" t="s">
        <v>493</v>
      </c>
      <c r="G2" s="635" t="s">
        <v>494</v>
      </c>
      <c r="H2" s="636" t="s">
        <v>495</v>
      </c>
      <c r="I2" s="634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</row>
    <row r="3" spans="1:26" ht="12.75" customHeight="1" x14ac:dyDescent="0.3">
      <c r="A3" s="637" t="s">
        <v>496</v>
      </c>
      <c r="B3" s="637" t="s">
        <v>497</v>
      </c>
      <c r="C3" s="637" t="s">
        <v>498</v>
      </c>
      <c r="D3" s="638" t="s">
        <v>499</v>
      </c>
      <c r="E3" s="639" t="s">
        <v>500</v>
      </c>
      <c r="F3" s="638" t="s">
        <v>501</v>
      </c>
      <c r="G3" s="638" t="s">
        <v>502</v>
      </c>
      <c r="H3" s="638" t="s">
        <v>503</v>
      </c>
      <c r="I3" s="638" t="s">
        <v>504</v>
      </c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</row>
    <row r="4" spans="1:26" ht="12.75" customHeight="1" x14ac:dyDescent="0.3">
      <c r="A4" s="640" t="s">
        <v>505</v>
      </c>
      <c r="B4" s="640"/>
      <c r="C4" s="641"/>
      <c r="D4" s="642"/>
      <c r="E4" s="642"/>
      <c r="F4" s="642"/>
      <c r="G4" s="642"/>
      <c r="H4" s="642"/>
      <c r="I4" s="64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</row>
    <row r="5" spans="1:26" ht="12.75" customHeight="1" x14ac:dyDescent="0.3">
      <c r="A5" s="640"/>
      <c r="B5" s="640"/>
      <c r="C5" s="644"/>
      <c r="D5" s="642"/>
      <c r="E5" s="642"/>
      <c r="F5" s="642"/>
      <c r="G5" s="642"/>
      <c r="H5" s="642"/>
      <c r="I5" s="64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</row>
    <row r="6" spans="1:26" ht="12.75" customHeight="1" x14ac:dyDescent="0.3">
      <c r="A6" s="640" t="s">
        <v>506</v>
      </c>
      <c r="B6" s="640" t="s">
        <v>507</v>
      </c>
      <c r="C6" s="644">
        <v>2020</v>
      </c>
      <c r="D6" s="642"/>
      <c r="E6" s="645"/>
      <c r="F6" s="642"/>
      <c r="G6" s="642"/>
      <c r="H6" s="642"/>
      <c r="I6" s="643"/>
      <c r="J6" s="646" t="s">
        <v>508</v>
      </c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</row>
    <row r="7" spans="1:26" ht="12.75" customHeight="1" x14ac:dyDescent="0.3">
      <c r="A7" s="640" t="s">
        <v>509</v>
      </c>
      <c r="B7" s="640" t="s">
        <v>510</v>
      </c>
      <c r="C7" s="644">
        <v>2020</v>
      </c>
      <c r="D7" s="642"/>
      <c r="E7" s="645">
        <v>50000</v>
      </c>
      <c r="F7" s="642"/>
      <c r="G7" s="642"/>
      <c r="H7" s="642"/>
      <c r="I7" s="643" t="s">
        <v>511</v>
      </c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</row>
    <row r="8" spans="1:26" ht="12.75" customHeight="1" x14ac:dyDescent="0.3">
      <c r="A8" s="640" t="s">
        <v>509</v>
      </c>
      <c r="B8" s="640" t="s">
        <v>512</v>
      </c>
      <c r="C8" s="644">
        <v>2020</v>
      </c>
      <c r="D8" s="642"/>
      <c r="E8" s="642">
        <v>20000</v>
      </c>
      <c r="F8" s="642"/>
      <c r="G8" s="642"/>
      <c r="H8" s="642"/>
      <c r="I8" s="64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</row>
    <row r="9" spans="1:26" ht="12.75" customHeight="1" x14ac:dyDescent="0.3">
      <c r="A9" s="640"/>
      <c r="B9" s="640"/>
      <c r="C9" s="644"/>
      <c r="D9" s="642"/>
      <c r="E9" s="642"/>
      <c r="F9" s="642"/>
      <c r="G9" s="642"/>
      <c r="H9" s="642"/>
      <c r="I9" s="64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</row>
    <row r="10" spans="1:26" ht="12.75" customHeight="1" x14ac:dyDescent="0.3">
      <c r="A10" s="640" t="s">
        <v>513</v>
      </c>
      <c r="B10" s="640"/>
      <c r="C10" s="644"/>
      <c r="D10" s="645"/>
      <c r="E10" s="645"/>
      <c r="F10" s="645"/>
      <c r="G10" s="645"/>
      <c r="H10" s="645"/>
      <c r="I10" s="64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</row>
    <row r="11" spans="1:26" ht="12.75" customHeight="1" x14ac:dyDescent="0.3">
      <c r="A11" s="640"/>
      <c r="B11" s="640"/>
      <c r="C11" s="644"/>
      <c r="D11" s="645"/>
      <c r="E11" s="645"/>
      <c r="F11" s="645"/>
      <c r="G11" s="645"/>
      <c r="H11" s="645"/>
      <c r="I11" s="64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</row>
    <row r="12" spans="1:26" ht="12.75" customHeight="1" x14ac:dyDescent="0.3">
      <c r="A12" s="640"/>
      <c r="B12" s="640"/>
      <c r="C12" s="644"/>
      <c r="D12" s="645"/>
      <c r="E12" s="645"/>
      <c r="F12" s="645"/>
      <c r="G12" s="645"/>
      <c r="H12" s="645"/>
      <c r="I12" s="64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</row>
    <row r="13" spans="1:26" ht="12.75" customHeight="1" x14ac:dyDescent="0.3">
      <c r="A13" s="647"/>
      <c r="B13" s="647"/>
      <c r="C13" s="647"/>
      <c r="D13" s="648">
        <f t="shared" ref="D13:H13" si="0">SUM(D4:D12)</f>
        <v>0</v>
      </c>
      <c r="E13" s="648">
        <f t="shared" si="0"/>
        <v>70000</v>
      </c>
      <c r="F13" s="648">
        <f t="shared" si="0"/>
        <v>0</v>
      </c>
      <c r="G13" s="648">
        <f t="shared" si="0"/>
        <v>0</v>
      </c>
      <c r="H13" s="648">
        <f t="shared" si="0"/>
        <v>0</v>
      </c>
      <c r="I13" s="649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</row>
    <row r="14" spans="1:26" ht="12.75" customHeight="1" x14ac:dyDescent="0.3">
      <c r="A14" s="650"/>
      <c r="B14" s="650"/>
      <c r="C14" s="650"/>
      <c r="D14" s="650"/>
      <c r="E14" s="650"/>
      <c r="F14" s="650"/>
      <c r="G14" s="650"/>
      <c r="H14" s="650"/>
      <c r="I14" s="650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</row>
    <row r="15" spans="1:26" ht="12.75" customHeight="1" x14ac:dyDescent="0.3">
      <c r="A15" s="633"/>
      <c r="B15" s="633"/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</row>
    <row r="16" spans="1:26" ht="12.75" customHeight="1" x14ac:dyDescent="0.3">
      <c r="A16" s="633"/>
      <c r="B16" s="633"/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3"/>
      <c r="Z16" s="633"/>
    </row>
    <row r="17" spans="1:26" ht="12.75" customHeight="1" x14ac:dyDescent="0.3">
      <c r="A17" s="651"/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</row>
    <row r="18" spans="1:26" ht="12.75" customHeight="1" x14ac:dyDescent="0.3">
      <c r="A18" s="633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33"/>
      <c r="U18" s="633"/>
      <c r="V18" s="633"/>
      <c r="W18" s="633"/>
      <c r="X18" s="633"/>
      <c r="Y18" s="633"/>
      <c r="Z18" s="633"/>
    </row>
    <row r="19" spans="1:26" ht="12.75" customHeight="1" x14ac:dyDescent="0.3">
      <c r="A19" s="633"/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</row>
    <row r="20" spans="1:26" ht="12.75" customHeight="1" x14ac:dyDescent="0.3">
      <c r="A20" s="633"/>
      <c r="B20" s="633"/>
      <c r="C20" s="633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</row>
    <row r="21" spans="1:26" ht="12.75" customHeight="1" x14ac:dyDescent="0.3">
      <c r="A21" s="633"/>
      <c r="B21" s="633"/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</row>
    <row r="22" spans="1:26" ht="12.75" customHeight="1" x14ac:dyDescent="0.3">
      <c r="A22" s="633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</row>
    <row r="23" spans="1:26" ht="12.75" customHeight="1" x14ac:dyDescent="0.3">
      <c r="A23" s="633"/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</row>
    <row r="24" spans="1:26" ht="12.75" customHeight="1" x14ac:dyDescent="0.3">
      <c r="A24" s="633"/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S24" s="633"/>
      <c r="T24" s="633"/>
      <c r="U24" s="633"/>
      <c r="V24" s="633"/>
      <c r="W24" s="633"/>
      <c r="X24" s="633"/>
      <c r="Y24" s="633"/>
      <c r="Z24" s="633"/>
    </row>
    <row r="25" spans="1:26" ht="12.75" customHeight="1" x14ac:dyDescent="0.3">
      <c r="A25" s="633"/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</row>
    <row r="26" spans="1:26" ht="12.75" customHeight="1" x14ac:dyDescent="0.3">
      <c r="A26" s="633"/>
      <c r="B26" s="633"/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</row>
    <row r="27" spans="1:26" ht="12.75" customHeight="1" x14ac:dyDescent="0.3">
      <c r="A27" s="633"/>
      <c r="B27" s="633"/>
      <c r="C27" s="633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</row>
    <row r="28" spans="1:26" ht="12.75" customHeight="1" x14ac:dyDescent="0.3">
      <c r="A28" s="633"/>
      <c r="B28" s="633"/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633"/>
      <c r="T28" s="633"/>
      <c r="U28" s="633"/>
      <c r="V28" s="633"/>
      <c r="W28" s="633"/>
      <c r="X28" s="633"/>
      <c r="Y28" s="633"/>
      <c r="Z28" s="633"/>
    </row>
    <row r="29" spans="1:26" ht="12.75" customHeight="1" x14ac:dyDescent="0.3">
      <c r="A29" s="633"/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  <c r="T29" s="633"/>
      <c r="U29" s="633"/>
      <c r="V29" s="633"/>
      <c r="W29" s="633"/>
      <c r="X29" s="633"/>
      <c r="Y29" s="633"/>
      <c r="Z29" s="633"/>
    </row>
    <row r="30" spans="1:26" ht="12.75" customHeight="1" x14ac:dyDescent="0.3">
      <c r="A30" s="633"/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3"/>
      <c r="Y30" s="633"/>
      <c r="Z30" s="633"/>
    </row>
    <row r="31" spans="1:26" ht="12.75" customHeight="1" x14ac:dyDescent="0.3">
      <c r="A31" s="633"/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633"/>
      <c r="O31" s="633"/>
      <c r="P31" s="633"/>
      <c r="Q31" s="633"/>
      <c r="R31" s="633"/>
      <c r="S31" s="633"/>
      <c r="T31" s="633"/>
      <c r="U31" s="633"/>
      <c r="V31" s="633"/>
      <c r="W31" s="633"/>
      <c r="X31" s="633"/>
      <c r="Y31" s="633"/>
      <c r="Z31" s="633"/>
    </row>
    <row r="32" spans="1:26" ht="12.75" customHeight="1" x14ac:dyDescent="0.3">
      <c r="A32" s="633"/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633"/>
      <c r="T32" s="633"/>
      <c r="U32" s="633"/>
      <c r="V32" s="633"/>
      <c r="W32" s="633"/>
      <c r="X32" s="633"/>
      <c r="Y32" s="633"/>
      <c r="Z32" s="633"/>
    </row>
    <row r="33" spans="1:26" ht="12.75" customHeight="1" x14ac:dyDescent="0.3">
      <c r="A33" s="633"/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633"/>
      <c r="O33" s="633"/>
      <c r="P33" s="633"/>
      <c r="Q33" s="633"/>
      <c r="R33" s="633"/>
      <c r="S33" s="633"/>
      <c r="T33" s="633"/>
      <c r="U33" s="633"/>
      <c r="V33" s="633"/>
      <c r="W33" s="633"/>
      <c r="X33" s="633"/>
      <c r="Y33" s="633"/>
      <c r="Z33" s="633"/>
    </row>
    <row r="34" spans="1:26" ht="12.75" customHeight="1" x14ac:dyDescent="0.3">
      <c r="A34" s="633"/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</row>
    <row r="35" spans="1:26" ht="12.75" customHeight="1" x14ac:dyDescent="0.3">
      <c r="A35" s="633"/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</row>
    <row r="36" spans="1:26" ht="12.75" customHeight="1" x14ac:dyDescent="0.3">
      <c r="A36" s="633"/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</row>
    <row r="37" spans="1:26" ht="12.75" customHeight="1" x14ac:dyDescent="0.3">
      <c r="A37" s="633"/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</row>
    <row r="38" spans="1:26" ht="12.75" customHeight="1" x14ac:dyDescent="0.3">
      <c r="A38" s="633"/>
      <c r="B38" s="633"/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  <c r="T38" s="633"/>
      <c r="U38" s="633"/>
      <c r="V38" s="633"/>
      <c r="W38" s="633"/>
      <c r="X38" s="633"/>
      <c r="Y38" s="633"/>
      <c r="Z38" s="633"/>
    </row>
    <row r="39" spans="1:26" ht="12.75" customHeight="1" x14ac:dyDescent="0.3">
      <c r="A39" s="633"/>
      <c r="B39" s="633"/>
      <c r="C39" s="633"/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633"/>
      <c r="W39" s="633"/>
      <c r="X39" s="633"/>
      <c r="Y39" s="633"/>
      <c r="Z39" s="633"/>
    </row>
    <row r="40" spans="1:26" ht="12.75" customHeight="1" x14ac:dyDescent="0.3">
      <c r="A40" s="633"/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</row>
    <row r="41" spans="1:26" ht="12.75" customHeight="1" x14ac:dyDescent="0.3">
      <c r="A41" s="633"/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</row>
    <row r="42" spans="1:26" ht="12.75" customHeight="1" x14ac:dyDescent="0.3">
      <c r="A42" s="633"/>
      <c r="B42" s="633"/>
      <c r="C42" s="633"/>
      <c r="D42" s="633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633"/>
      <c r="R42" s="633"/>
      <c r="S42" s="633"/>
      <c r="T42" s="633"/>
      <c r="U42" s="633"/>
      <c r="V42" s="633"/>
      <c r="W42" s="633"/>
      <c r="X42" s="633"/>
      <c r="Y42" s="633"/>
      <c r="Z42" s="633"/>
    </row>
    <row r="43" spans="1:26" ht="12.75" customHeight="1" x14ac:dyDescent="0.3">
      <c r="A43" s="633"/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</row>
    <row r="44" spans="1:26" ht="12.75" customHeight="1" x14ac:dyDescent="0.3">
      <c r="A44" s="633"/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</row>
    <row r="45" spans="1:26" ht="12.75" customHeight="1" x14ac:dyDescent="0.3">
      <c r="A45" s="633"/>
      <c r="B45" s="633"/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</row>
    <row r="46" spans="1:26" ht="12.75" customHeight="1" x14ac:dyDescent="0.3">
      <c r="A46" s="633"/>
      <c r="B46" s="633"/>
      <c r="C46" s="633"/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33"/>
      <c r="U46" s="633"/>
      <c r="V46" s="633"/>
      <c r="W46" s="633"/>
      <c r="X46" s="633"/>
      <c r="Y46" s="633"/>
      <c r="Z46" s="633"/>
    </row>
    <row r="47" spans="1:26" ht="12.75" customHeight="1" x14ac:dyDescent="0.3">
      <c r="A47" s="633"/>
      <c r="B47" s="633"/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33"/>
      <c r="U47" s="633"/>
      <c r="V47" s="633"/>
      <c r="W47" s="633"/>
      <c r="X47" s="633"/>
      <c r="Y47" s="633"/>
      <c r="Z47" s="633"/>
    </row>
    <row r="48" spans="1:26" ht="12.75" customHeight="1" x14ac:dyDescent="0.3">
      <c r="A48" s="633"/>
      <c r="B48" s="633"/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</row>
    <row r="49" spans="1:26" ht="12.75" customHeight="1" x14ac:dyDescent="0.3">
      <c r="A49" s="633"/>
      <c r="B49" s="633"/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</row>
    <row r="50" spans="1:26" ht="12.75" customHeight="1" x14ac:dyDescent="0.3">
      <c r="A50" s="633"/>
      <c r="B50" s="633"/>
      <c r="C50" s="633"/>
      <c r="D50" s="633"/>
      <c r="E50" s="633"/>
      <c r="F50" s="633"/>
      <c r="G50" s="633"/>
      <c r="H50" s="633"/>
      <c r="I50" s="633"/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</row>
    <row r="51" spans="1:26" ht="12.75" customHeight="1" x14ac:dyDescent="0.3">
      <c r="A51" s="633"/>
      <c r="B51" s="633"/>
      <c r="C51" s="633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</row>
    <row r="52" spans="1:26" ht="12.75" customHeight="1" x14ac:dyDescent="0.3">
      <c r="A52" s="633"/>
      <c r="B52" s="633"/>
      <c r="C52" s="633"/>
      <c r="D52" s="633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633"/>
      <c r="P52" s="633"/>
      <c r="Q52" s="633"/>
      <c r="R52" s="633"/>
      <c r="S52" s="633"/>
      <c r="T52" s="633"/>
      <c r="U52" s="633"/>
      <c r="V52" s="633"/>
      <c r="W52" s="633"/>
      <c r="X52" s="633"/>
      <c r="Y52" s="633"/>
      <c r="Z52" s="633"/>
    </row>
    <row r="53" spans="1:26" ht="12.75" customHeight="1" x14ac:dyDescent="0.3">
      <c r="A53" s="633"/>
      <c r="B53" s="633"/>
      <c r="C53" s="633"/>
      <c r="D53" s="633"/>
      <c r="E53" s="633"/>
      <c r="F53" s="633"/>
      <c r="G53" s="633"/>
      <c r="H53" s="633"/>
      <c r="I53" s="633"/>
      <c r="J53" s="633"/>
      <c r="K53" s="633"/>
      <c r="L53" s="633"/>
      <c r="M53" s="633"/>
      <c r="N53" s="633"/>
      <c r="O53" s="633"/>
      <c r="P53" s="633"/>
      <c r="Q53" s="633"/>
      <c r="R53" s="633"/>
      <c r="S53" s="633"/>
      <c r="T53" s="633"/>
      <c r="U53" s="633"/>
      <c r="V53" s="633"/>
      <c r="W53" s="633"/>
      <c r="X53" s="633"/>
      <c r="Y53" s="633"/>
      <c r="Z53" s="633"/>
    </row>
    <row r="54" spans="1:26" ht="12.75" customHeight="1" x14ac:dyDescent="0.3">
      <c r="A54" s="633"/>
      <c r="B54" s="633"/>
      <c r="C54" s="633"/>
      <c r="D54" s="633"/>
      <c r="E54" s="633"/>
      <c r="F54" s="633"/>
      <c r="G54" s="633"/>
      <c r="H54" s="633"/>
      <c r="I54" s="633"/>
      <c r="J54" s="633"/>
      <c r="K54" s="633"/>
      <c r="L54" s="633"/>
      <c r="M54" s="633"/>
      <c r="N54" s="633"/>
      <c r="O54" s="633"/>
      <c r="P54" s="633"/>
      <c r="Q54" s="633"/>
      <c r="R54" s="633"/>
      <c r="S54" s="633"/>
      <c r="T54" s="633"/>
      <c r="U54" s="633"/>
      <c r="V54" s="633"/>
      <c r="W54" s="633"/>
      <c r="X54" s="633"/>
      <c r="Y54" s="633"/>
      <c r="Z54" s="633"/>
    </row>
    <row r="55" spans="1:26" ht="12.75" customHeight="1" x14ac:dyDescent="0.3">
      <c r="A55" s="633"/>
      <c r="B55" s="633"/>
      <c r="C55" s="633"/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</row>
    <row r="56" spans="1:26" ht="12.75" customHeight="1" x14ac:dyDescent="0.3">
      <c r="A56" s="633"/>
      <c r="B56" s="633"/>
      <c r="C56" s="633"/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3"/>
      <c r="Q56" s="633"/>
      <c r="R56" s="633"/>
      <c r="S56" s="633"/>
      <c r="T56" s="633"/>
      <c r="U56" s="633"/>
      <c r="V56" s="633"/>
      <c r="W56" s="633"/>
      <c r="X56" s="633"/>
      <c r="Y56" s="633"/>
      <c r="Z56" s="633"/>
    </row>
    <row r="57" spans="1:26" ht="12.75" customHeight="1" x14ac:dyDescent="0.3">
      <c r="A57" s="633"/>
      <c r="B57" s="633"/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</row>
    <row r="58" spans="1:26" ht="12.75" customHeight="1" x14ac:dyDescent="0.3">
      <c r="A58" s="633"/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3"/>
      <c r="Z58" s="633"/>
    </row>
    <row r="59" spans="1:26" ht="12.75" customHeight="1" x14ac:dyDescent="0.3">
      <c r="A59" s="633"/>
      <c r="B59" s="633"/>
      <c r="C59" s="633"/>
      <c r="D59" s="633"/>
      <c r="E59" s="633"/>
      <c r="F59" s="633"/>
      <c r="G59" s="633"/>
      <c r="H59" s="633"/>
      <c r="I59" s="633"/>
      <c r="J59" s="633"/>
      <c r="K59" s="633"/>
      <c r="L59" s="633"/>
      <c r="M59" s="633"/>
      <c r="N59" s="633"/>
      <c r="O59" s="633"/>
      <c r="P59" s="633"/>
      <c r="Q59" s="633"/>
      <c r="R59" s="633"/>
      <c r="S59" s="633"/>
      <c r="T59" s="633"/>
      <c r="U59" s="633"/>
      <c r="V59" s="633"/>
      <c r="W59" s="633"/>
      <c r="X59" s="633"/>
      <c r="Y59" s="633"/>
      <c r="Z59" s="633"/>
    </row>
    <row r="60" spans="1:26" ht="12.75" customHeight="1" x14ac:dyDescent="0.3">
      <c r="A60" s="633"/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</row>
    <row r="61" spans="1:26" ht="12.75" customHeight="1" x14ac:dyDescent="0.3">
      <c r="A61" s="633"/>
      <c r="B61" s="633"/>
      <c r="C61" s="633"/>
      <c r="D61" s="633"/>
      <c r="E61" s="633"/>
      <c r="F61" s="633"/>
      <c r="G61" s="633"/>
      <c r="H61" s="633"/>
      <c r="I61" s="633"/>
      <c r="J61" s="633"/>
      <c r="K61" s="633"/>
      <c r="L61" s="633"/>
      <c r="M61" s="633"/>
      <c r="N61" s="633"/>
      <c r="O61" s="633"/>
      <c r="P61" s="633"/>
      <c r="Q61" s="633"/>
      <c r="R61" s="633"/>
      <c r="S61" s="633"/>
      <c r="T61" s="633"/>
      <c r="U61" s="633"/>
      <c r="V61" s="633"/>
      <c r="W61" s="633"/>
      <c r="X61" s="633"/>
      <c r="Y61" s="633"/>
      <c r="Z61" s="633"/>
    </row>
    <row r="62" spans="1:26" ht="12.75" customHeight="1" x14ac:dyDescent="0.3">
      <c r="A62" s="633"/>
      <c r="B62" s="633"/>
      <c r="C62" s="633"/>
      <c r="D62" s="633"/>
      <c r="E62" s="633"/>
      <c r="F62" s="633"/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633"/>
      <c r="R62" s="633"/>
      <c r="S62" s="633"/>
      <c r="T62" s="633"/>
      <c r="U62" s="633"/>
      <c r="V62" s="633"/>
      <c r="W62" s="633"/>
      <c r="X62" s="633"/>
      <c r="Y62" s="633"/>
      <c r="Z62" s="633"/>
    </row>
    <row r="63" spans="1:26" ht="12.75" customHeight="1" x14ac:dyDescent="0.3">
      <c r="A63" s="633"/>
      <c r="B63" s="633"/>
      <c r="C63" s="633"/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</row>
    <row r="64" spans="1:26" ht="12.75" customHeight="1" x14ac:dyDescent="0.3">
      <c r="A64" s="633"/>
      <c r="B64" s="633"/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</row>
    <row r="65" spans="1:26" ht="12.75" customHeight="1" x14ac:dyDescent="0.3">
      <c r="A65" s="633"/>
      <c r="B65" s="633"/>
      <c r="C65" s="633"/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</row>
    <row r="66" spans="1:26" ht="12.75" customHeight="1" x14ac:dyDescent="0.3">
      <c r="A66" s="633"/>
      <c r="B66" s="633"/>
      <c r="C66" s="633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</row>
    <row r="67" spans="1:26" ht="12.75" customHeight="1" x14ac:dyDescent="0.3">
      <c r="A67" s="633"/>
      <c r="B67" s="633"/>
      <c r="C67" s="633"/>
      <c r="D67" s="633"/>
      <c r="E67" s="633"/>
      <c r="F67" s="633"/>
      <c r="G67" s="633"/>
      <c r="H67" s="633"/>
      <c r="I67" s="633"/>
      <c r="J67" s="633"/>
      <c r="K67" s="633"/>
      <c r="L67" s="633"/>
      <c r="M67" s="633"/>
      <c r="N67" s="633"/>
      <c r="O67" s="633"/>
      <c r="P67" s="633"/>
      <c r="Q67" s="633"/>
      <c r="R67" s="633"/>
      <c r="S67" s="633"/>
      <c r="T67" s="633"/>
      <c r="U67" s="633"/>
      <c r="V67" s="633"/>
      <c r="W67" s="633"/>
      <c r="X67" s="633"/>
      <c r="Y67" s="633"/>
      <c r="Z67" s="633"/>
    </row>
    <row r="68" spans="1:26" ht="12.75" customHeight="1" x14ac:dyDescent="0.3">
      <c r="A68" s="633"/>
      <c r="B68" s="633"/>
      <c r="C68" s="633"/>
      <c r="D68" s="633"/>
      <c r="E68" s="633"/>
      <c r="F68" s="633"/>
      <c r="G68" s="633"/>
      <c r="H68" s="633"/>
      <c r="I68" s="633"/>
      <c r="J68" s="633"/>
      <c r="K68" s="633"/>
      <c r="L68" s="633"/>
      <c r="M68" s="633"/>
      <c r="N68" s="633"/>
      <c r="O68" s="633"/>
      <c r="P68" s="633"/>
      <c r="Q68" s="633"/>
      <c r="R68" s="633"/>
      <c r="S68" s="633"/>
      <c r="T68" s="633"/>
      <c r="U68" s="633"/>
      <c r="V68" s="633"/>
      <c r="W68" s="633"/>
      <c r="X68" s="633"/>
      <c r="Y68" s="633"/>
      <c r="Z68" s="633"/>
    </row>
    <row r="69" spans="1:26" ht="12.75" customHeight="1" x14ac:dyDescent="0.3">
      <c r="A69" s="633"/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633"/>
      <c r="P69" s="633"/>
      <c r="Q69" s="633"/>
      <c r="R69" s="633"/>
      <c r="S69" s="633"/>
      <c r="T69" s="633"/>
      <c r="U69" s="633"/>
      <c r="V69" s="633"/>
      <c r="W69" s="633"/>
      <c r="X69" s="633"/>
      <c r="Y69" s="633"/>
      <c r="Z69" s="633"/>
    </row>
    <row r="70" spans="1:26" ht="12.75" customHeight="1" x14ac:dyDescent="0.3">
      <c r="A70" s="633"/>
      <c r="B70" s="633"/>
      <c r="C70" s="633"/>
      <c r="D70" s="633"/>
      <c r="E70" s="633"/>
      <c r="F70" s="633"/>
      <c r="G70" s="633"/>
      <c r="H70" s="633"/>
      <c r="I70" s="633"/>
      <c r="J70" s="633"/>
      <c r="K70" s="633"/>
      <c r="L70" s="633"/>
      <c r="M70" s="633"/>
      <c r="N70" s="633"/>
      <c r="O70" s="633"/>
      <c r="P70" s="633"/>
      <c r="Q70" s="633"/>
      <c r="R70" s="633"/>
      <c r="S70" s="633"/>
      <c r="T70" s="633"/>
      <c r="U70" s="633"/>
      <c r="V70" s="633"/>
      <c r="W70" s="633"/>
      <c r="X70" s="633"/>
      <c r="Y70" s="633"/>
      <c r="Z70" s="633"/>
    </row>
    <row r="71" spans="1:26" ht="12.75" customHeight="1" x14ac:dyDescent="0.3">
      <c r="A71" s="633"/>
      <c r="B71" s="633"/>
      <c r="C71" s="633"/>
      <c r="D71" s="633"/>
      <c r="E71" s="633"/>
      <c r="F71" s="633"/>
      <c r="G71" s="633"/>
      <c r="H71" s="633"/>
      <c r="I71" s="633"/>
      <c r="J71" s="633"/>
      <c r="K71" s="633"/>
      <c r="L71" s="633"/>
      <c r="M71" s="633"/>
      <c r="N71" s="633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</row>
    <row r="72" spans="1:26" ht="12.75" customHeight="1" x14ac:dyDescent="0.3">
      <c r="A72" s="633"/>
      <c r="B72" s="633"/>
      <c r="C72" s="633"/>
      <c r="D72" s="633"/>
      <c r="E72" s="633"/>
      <c r="F72" s="633"/>
      <c r="G72" s="633"/>
      <c r="H72" s="633"/>
      <c r="I72" s="633"/>
      <c r="J72" s="633"/>
      <c r="K72" s="633"/>
      <c r="L72" s="633"/>
      <c r="M72" s="633"/>
      <c r="N72" s="633"/>
      <c r="O72" s="633"/>
      <c r="P72" s="633"/>
      <c r="Q72" s="633"/>
      <c r="R72" s="633"/>
      <c r="S72" s="633"/>
      <c r="T72" s="633"/>
      <c r="U72" s="633"/>
      <c r="V72" s="633"/>
      <c r="W72" s="633"/>
      <c r="X72" s="633"/>
      <c r="Y72" s="633"/>
      <c r="Z72" s="633"/>
    </row>
    <row r="73" spans="1:26" ht="12.75" customHeight="1" x14ac:dyDescent="0.3">
      <c r="A73" s="633"/>
      <c r="B73" s="633"/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633"/>
      <c r="O73" s="633"/>
      <c r="P73" s="633"/>
      <c r="Q73" s="633"/>
      <c r="R73" s="633"/>
      <c r="S73" s="633"/>
      <c r="T73" s="633"/>
      <c r="U73" s="633"/>
      <c r="V73" s="633"/>
      <c r="W73" s="633"/>
      <c r="X73" s="633"/>
      <c r="Y73" s="633"/>
      <c r="Z73" s="633"/>
    </row>
    <row r="74" spans="1:26" ht="12.75" customHeight="1" x14ac:dyDescent="0.3">
      <c r="A74" s="633"/>
      <c r="B74" s="633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</row>
    <row r="75" spans="1:26" ht="12.75" customHeight="1" x14ac:dyDescent="0.3">
      <c r="A75" s="633"/>
      <c r="B75" s="633"/>
      <c r="C75" s="633"/>
      <c r="D75" s="633"/>
      <c r="E75" s="633"/>
      <c r="F75" s="633"/>
      <c r="G75" s="633"/>
      <c r="H75" s="633"/>
      <c r="I75" s="633"/>
      <c r="J75" s="633"/>
      <c r="K75" s="633"/>
      <c r="L75" s="633"/>
      <c r="M75" s="633"/>
      <c r="N75" s="633"/>
      <c r="O75" s="633"/>
      <c r="P75" s="633"/>
      <c r="Q75" s="633"/>
      <c r="R75" s="633"/>
      <c r="S75" s="633"/>
      <c r="T75" s="633"/>
      <c r="U75" s="633"/>
      <c r="V75" s="633"/>
      <c r="W75" s="633"/>
      <c r="X75" s="633"/>
      <c r="Y75" s="633"/>
      <c r="Z75" s="633"/>
    </row>
    <row r="76" spans="1:26" ht="12.75" customHeight="1" x14ac:dyDescent="0.3">
      <c r="A76" s="633"/>
      <c r="B76" s="633"/>
      <c r="C76" s="633"/>
      <c r="D76" s="633"/>
      <c r="E76" s="633"/>
      <c r="F76" s="633"/>
      <c r="G76" s="633"/>
      <c r="H76" s="633"/>
      <c r="I76" s="633"/>
      <c r="J76" s="633"/>
      <c r="K76" s="633"/>
      <c r="L76" s="633"/>
      <c r="M76" s="633"/>
      <c r="N76" s="633"/>
      <c r="O76" s="633"/>
      <c r="P76" s="633"/>
      <c r="Q76" s="633"/>
      <c r="R76" s="633"/>
      <c r="S76" s="633"/>
      <c r="T76" s="633"/>
      <c r="U76" s="633"/>
      <c r="V76" s="633"/>
      <c r="W76" s="633"/>
      <c r="X76" s="633"/>
      <c r="Y76" s="633"/>
      <c r="Z76" s="633"/>
    </row>
    <row r="77" spans="1:26" ht="12.75" customHeight="1" x14ac:dyDescent="0.3">
      <c r="A77" s="633"/>
      <c r="B77" s="633"/>
      <c r="C77" s="633"/>
      <c r="D77" s="633"/>
      <c r="E77" s="633"/>
      <c r="F77" s="633"/>
      <c r="G77" s="633"/>
      <c r="H77" s="633"/>
      <c r="I77" s="633"/>
      <c r="J77" s="633"/>
      <c r="K77" s="633"/>
      <c r="L77" s="633"/>
      <c r="M77" s="633"/>
      <c r="N77" s="633"/>
      <c r="O77" s="633"/>
      <c r="P77" s="633"/>
      <c r="Q77" s="633"/>
      <c r="R77" s="633"/>
      <c r="S77" s="633"/>
      <c r="T77" s="633"/>
      <c r="U77" s="633"/>
      <c r="V77" s="633"/>
      <c r="W77" s="633"/>
      <c r="X77" s="633"/>
      <c r="Y77" s="633"/>
      <c r="Z77" s="633"/>
    </row>
    <row r="78" spans="1:26" ht="12.75" customHeight="1" x14ac:dyDescent="0.3">
      <c r="A78" s="633"/>
      <c r="B78" s="633"/>
      <c r="C78" s="633"/>
      <c r="D78" s="633"/>
      <c r="E78" s="633"/>
      <c r="F78" s="633"/>
      <c r="G78" s="633"/>
      <c r="H78" s="633"/>
      <c r="I78" s="633"/>
      <c r="J78" s="633"/>
      <c r="K78" s="633"/>
      <c r="L78" s="633"/>
      <c r="M78" s="633"/>
      <c r="N78" s="633"/>
      <c r="O78" s="633"/>
      <c r="P78" s="633"/>
      <c r="Q78" s="633"/>
      <c r="R78" s="633"/>
      <c r="S78" s="633"/>
      <c r="T78" s="633"/>
      <c r="U78" s="633"/>
      <c r="V78" s="633"/>
      <c r="W78" s="633"/>
      <c r="X78" s="633"/>
      <c r="Y78" s="633"/>
      <c r="Z78" s="633"/>
    </row>
    <row r="79" spans="1:26" ht="12.75" customHeight="1" x14ac:dyDescent="0.3">
      <c r="A79" s="633"/>
      <c r="B79" s="633"/>
      <c r="C79" s="633"/>
      <c r="D79" s="633"/>
      <c r="E79" s="633"/>
      <c r="F79" s="633"/>
      <c r="G79" s="633"/>
      <c r="H79" s="633"/>
      <c r="I79" s="633"/>
      <c r="J79" s="633"/>
      <c r="K79" s="633"/>
      <c r="L79" s="633"/>
      <c r="M79" s="633"/>
      <c r="N79" s="633"/>
      <c r="O79" s="633"/>
      <c r="P79" s="633"/>
      <c r="Q79" s="633"/>
      <c r="R79" s="633"/>
      <c r="S79" s="633"/>
      <c r="T79" s="633"/>
      <c r="U79" s="633"/>
      <c r="V79" s="633"/>
      <c r="W79" s="633"/>
      <c r="X79" s="633"/>
      <c r="Y79" s="633"/>
      <c r="Z79" s="633"/>
    </row>
    <row r="80" spans="1:26" ht="12.75" customHeight="1" x14ac:dyDescent="0.3">
      <c r="A80" s="633"/>
      <c r="B80" s="633"/>
      <c r="C80" s="633"/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3"/>
      <c r="Q80" s="633"/>
      <c r="R80" s="633"/>
      <c r="S80" s="633"/>
      <c r="T80" s="633"/>
      <c r="U80" s="633"/>
      <c r="V80" s="633"/>
      <c r="W80" s="633"/>
      <c r="X80" s="633"/>
      <c r="Y80" s="633"/>
      <c r="Z80" s="633"/>
    </row>
    <row r="81" spans="1:26" ht="12.75" customHeight="1" x14ac:dyDescent="0.3">
      <c r="A81" s="633"/>
      <c r="B81" s="633"/>
      <c r="C81" s="633"/>
      <c r="D81" s="633"/>
      <c r="E81" s="633"/>
      <c r="F81" s="633"/>
      <c r="G81" s="633"/>
      <c r="H81" s="633"/>
      <c r="I81" s="633"/>
      <c r="J81" s="633"/>
      <c r="K81" s="633"/>
      <c r="L81" s="633"/>
      <c r="M81" s="633"/>
      <c r="N81" s="633"/>
      <c r="O81" s="633"/>
      <c r="P81" s="633"/>
      <c r="Q81" s="633"/>
      <c r="R81" s="633"/>
      <c r="S81" s="633"/>
      <c r="T81" s="633"/>
      <c r="U81" s="633"/>
      <c r="V81" s="633"/>
      <c r="W81" s="633"/>
      <c r="X81" s="633"/>
      <c r="Y81" s="633"/>
      <c r="Z81" s="633"/>
    </row>
    <row r="82" spans="1:26" ht="12.75" customHeight="1" x14ac:dyDescent="0.3">
      <c r="A82" s="633"/>
      <c r="B82" s="633"/>
      <c r="C82" s="633"/>
      <c r="D82" s="633"/>
      <c r="E82" s="633"/>
      <c r="F82" s="633"/>
      <c r="G82" s="633"/>
      <c r="H82" s="633"/>
      <c r="I82" s="633"/>
      <c r="J82" s="633"/>
      <c r="K82" s="633"/>
      <c r="L82" s="633"/>
      <c r="M82" s="633"/>
      <c r="N82" s="633"/>
      <c r="O82" s="633"/>
      <c r="P82" s="633"/>
      <c r="Q82" s="633"/>
      <c r="R82" s="633"/>
      <c r="S82" s="633"/>
      <c r="T82" s="633"/>
      <c r="U82" s="633"/>
      <c r="V82" s="633"/>
      <c r="W82" s="633"/>
      <c r="X82" s="633"/>
      <c r="Y82" s="633"/>
      <c r="Z82" s="633"/>
    </row>
    <row r="83" spans="1:26" ht="12.75" customHeight="1" x14ac:dyDescent="0.3">
      <c r="A83" s="633"/>
      <c r="B83" s="633"/>
      <c r="C83" s="633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633"/>
      <c r="P83" s="633"/>
      <c r="Q83" s="633"/>
      <c r="R83" s="633"/>
      <c r="S83" s="633"/>
      <c r="T83" s="633"/>
      <c r="U83" s="633"/>
      <c r="V83" s="633"/>
      <c r="W83" s="633"/>
      <c r="X83" s="633"/>
      <c r="Y83" s="633"/>
      <c r="Z83" s="633"/>
    </row>
    <row r="84" spans="1:26" ht="12.75" customHeight="1" x14ac:dyDescent="0.3">
      <c r="A84" s="633"/>
      <c r="B84" s="633"/>
      <c r="C84" s="633"/>
      <c r="D84" s="633"/>
      <c r="E84" s="633"/>
      <c r="F84" s="633"/>
      <c r="G84" s="633"/>
      <c r="H84" s="633"/>
      <c r="I84" s="633"/>
      <c r="J84" s="633"/>
      <c r="K84" s="633"/>
      <c r="L84" s="633"/>
      <c r="M84" s="633"/>
      <c r="N84" s="633"/>
      <c r="O84" s="633"/>
      <c r="P84" s="633"/>
      <c r="Q84" s="633"/>
      <c r="R84" s="633"/>
      <c r="S84" s="633"/>
      <c r="T84" s="633"/>
      <c r="U84" s="633"/>
      <c r="V84" s="633"/>
      <c r="W84" s="633"/>
      <c r="X84" s="633"/>
      <c r="Y84" s="633"/>
      <c r="Z84" s="633"/>
    </row>
    <row r="85" spans="1:26" ht="12.75" customHeight="1" x14ac:dyDescent="0.3">
      <c r="A85" s="633"/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</row>
    <row r="86" spans="1:26" ht="12.75" customHeight="1" x14ac:dyDescent="0.3">
      <c r="A86" s="633"/>
      <c r="B86" s="633"/>
      <c r="C86" s="633"/>
      <c r="D86" s="633"/>
      <c r="E86" s="633"/>
      <c r="F86" s="633"/>
      <c r="G86" s="633"/>
      <c r="H86" s="633"/>
      <c r="I86" s="633"/>
      <c r="J86" s="633"/>
      <c r="K86" s="633"/>
      <c r="L86" s="633"/>
      <c r="M86" s="633"/>
      <c r="N86" s="633"/>
      <c r="O86" s="633"/>
      <c r="P86" s="633"/>
      <c r="Q86" s="633"/>
      <c r="R86" s="633"/>
      <c r="S86" s="633"/>
      <c r="T86" s="633"/>
      <c r="U86" s="633"/>
      <c r="V86" s="633"/>
      <c r="W86" s="633"/>
      <c r="X86" s="633"/>
      <c r="Y86" s="633"/>
      <c r="Z86" s="633"/>
    </row>
    <row r="87" spans="1:26" ht="12.75" customHeight="1" x14ac:dyDescent="0.3">
      <c r="A87" s="633"/>
      <c r="B87" s="633"/>
      <c r="C87" s="633"/>
      <c r="D87" s="633"/>
      <c r="E87" s="633"/>
      <c r="F87" s="633"/>
      <c r="G87" s="633"/>
      <c r="H87" s="633"/>
      <c r="I87" s="633"/>
      <c r="J87" s="633"/>
      <c r="K87" s="633"/>
      <c r="L87" s="633"/>
      <c r="M87" s="633"/>
      <c r="N87" s="633"/>
      <c r="O87" s="633"/>
      <c r="P87" s="633"/>
      <c r="Q87" s="633"/>
      <c r="R87" s="633"/>
      <c r="S87" s="633"/>
      <c r="T87" s="633"/>
      <c r="U87" s="633"/>
      <c r="V87" s="633"/>
      <c r="W87" s="633"/>
      <c r="X87" s="633"/>
      <c r="Y87" s="633"/>
      <c r="Z87" s="633"/>
    </row>
    <row r="88" spans="1:26" ht="12.75" customHeight="1" x14ac:dyDescent="0.3">
      <c r="A88" s="633"/>
      <c r="B88" s="633"/>
      <c r="C88" s="633"/>
      <c r="D88" s="633"/>
      <c r="E88" s="633"/>
      <c r="F88" s="633"/>
      <c r="G88" s="633"/>
      <c r="H88" s="633"/>
      <c r="I88" s="633"/>
      <c r="J88" s="633"/>
      <c r="K88" s="633"/>
      <c r="L88" s="633"/>
      <c r="M88" s="633"/>
      <c r="N88" s="633"/>
      <c r="O88" s="633"/>
      <c r="P88" s="633"/>
      <c r="Q88" s="633"/>
      <c r="R88" s="633"/>
      <c r="S88" s="633"/>
      <c r="T88" s="633"/>
      <c r="U88" s="633"/>
      <c r="V88" s="633"/>
      <c r="W88" s="633"/>
      <c r="X88" s="633"/>
      <c r="Y88" s="633"/>
      <c r="Z88" s="633"/>
    </row>
    <row r="89" spans="1:26" ht="12.75" customHeight="1" x14ac:dyDescent="0.3">
      <c r="A89" s="633"/>
      <c r="B89" s="633"/>
      <c r="C89" s="633"/>
      <c r="D89" s="633"/>
      <c r="E89" s="633"/>
      <c r="F89" s="633"/>
      <c r="G89" s="633"/>
      <c r="H89" s="633"/>
      <c r="I89" s="633"/>
      <c r="J89" s="633"/>
      <c r="K89" s="633"/>
      <c r="L89" s="633"/>
      <c r="M89" s="633"/>
      <c r="N89" s="633"/>
      <c r="O89" s="633"/>
      <c r="P89" s="633"/>
      <c r="Q89" s="633"/>
      <c r="R89" s="633"/>
      <c r="S89" s="633"/>
      <c r="T89" s="633"/>
      <c r="U89" s="633"/>
      <c r="V89" s="633"/>
      <c r="W89" s="633"/>
      <c r="X89" s="633"/>
      <c r="Y89" s="633"/>
      <c r="Z89" s="633"/>
    </row>
    <row r="90" spans="1:26" ht="12.75" customHeight="1" x14ac:dyDescent="0.3">
      <c r="A90" s="633"/>
      <c r="B90" s="633"/>
      <c r="C90" s="633"/>
      <c r="D90" s="633"/>
      <c r="E90" s="633"/>
      <c r="F90" s="633"/>
      <c r="G90" s="633"/>
      <c r="H90" s="633"/>
      <c r="I90" s="633"/>
      <c r="J90" s="633"/>
      <c r="K90" s="633"/>
      <c r="L90" s="633"/>
      <c r="M90" s="633"/>
      <c r="N90" s="633"/>
      <c r="O90" s="633"/>
      <c r="P90" s="633"/>
      <c r="Q90" s="633"/>
      <c r="R90" s="633"/>
      <c r="S90" s="633"/>
      <c r="T90" s="633"/>
      <c r="U90" s="633"/>
      <c r="V90" s="633"/>
      <c r="W90" s="633"/>
      <c r="X90" s="633"/>
      <c r="Y90" s="633"/>
      <c r="Z90" s="633"/>
    </row>
    <row r="91" spans="1:26" ht="12.75" customHeight="1" x14ac:dyDescent="0.3">
      <c r="A91" s="633"/>
      <c r="B91" s="633"/>
      <c r="C91" s="633"/>
      <c r="D91" s="633"/>
      <c r="E91" s="633"/>
      <c r="F91" s="633"/>
      <c r="G91" s="633"/>
      <c r="H91" s="633"/>
      <c r="I91" s="633"/>
      <c r="J91" s="633"/>
      <c r="K91" s="633"/>
      <c r="L91" s="633"/>
      <c r="M91" s="633"/>
      <c r="N91" s="633"/>
      <c r="O91" s="633"/>
      <c r="P91" s="633"/>
      <c r="Q91" s="633"/>
      <c r="R91" s="633"/>
      <c r="S91" s="633"/>
      <c r="T91" s="633"/>
      <c r="U91" s="633"/>
      <c r="V91" s="633"/>
      <c r="W91" s="633"/>
      <c r="X91" s="633"/>
      <c r="Y91" s="633"/>
      <c r="Z91" s="633"/>
    </row>
    <row r="92" spans="1:26" ht="12.75" customHeight="1" x14ac:dyDescent="0.3">
      <c r="A92" s="633"/>
      <c r="B92" s="633"/>
      <c r="C92" s="633"/>
      <c r="D92" s="633"/>
      <c r="E92" s="633"/>
      <c r="F92" s="633"/>
      <c r="G92" s="633"/>
      <c r="H92" s="633"/>
      <c r="I92" s="633"/>
      <c r="J92" s="633"/>
      <c r="K92" s="633"/>
      <c r="L92" s="633"/>
      <c r="M92" s="633"/>
      <c r="N92" s="633"/>
      <c r="O92" s="633"/>
      <c r="P92" s="633"/>
      <c r="Q92" s="633"/>
      <c r="R92" s="633"/>
      <c r="S92" s="633"/>
      <c r="T92" s="633"/>
      <c r="U92" s="633"/>
      <c r="V92" s="633"/>
      <c r="W92" s="633"/>
      <c r="X92" s="633"/>
      <c r="Y92" s="633"/>
      <c r="Z92" s="633"/>
    </row>
    <row r="93" spans="1:26" ht="12.75" customHeight="1" x14ac:dyDescent="0.3">
      <c r="A93" s="633"/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633"/>
      <c r="P93" s="633"/>
      <c r="Q93" s="633"/>
      <c r="R93" s="633"/>
      <c r="S93" s="633"/>
      <c r="T93" s="633"/>
      <c r="U93" s="633"/>
      <c r="V93" s="633"/>
      <c r="W93" s="633"/>
      <c r="X93" s="633"/>
      <c r="Y93" s="633"/>
      <c r="Z93" s="633"/>
    </row>
    <row r="94" spans="1:26" ht="12.75" customHeight="1" x14ac:dyDescent="0.3">
      <c r="A94" s="633"/>
      <c r="B94" s="633"/>
      <c r="C94" s="633"/>
      <c r="D94" s="633"/>
      <c r="E94" s="633"/>
      <c r="F94" s="633"/>
      <c r="G94" s="633"/>
      <c r="H94" s="633"/>
      <c r="I94" s="633"/>
      <c r="J94" s="633"/>
      <c r="K94" s="633"/>
      <c r="L94" s="633"/>
      <c r="M94" s="633"/>
      <c r="N94" s="633"/>
      <c r="O94" s="633"/>
      <c r="P94" s="633"/>
      <c r="Q94" s="633"/>
      <c r="R94" s="633"/>
      <c r="S94" s="633"/>
      <c r="T94" s="633"/>
      <c r="U94" s="633"/>
      <c r="V94" s="633"/>
      <c r="W94" s="633"/>
      <c r="X94" s="633"/>
      <c r="Y94" s="633"/>
      <c r="Z94" s="633"/>
    </row>
    <row r="95" spans="1:26" ht="12.75" customHeight="1" x14ac:dyDescent="0.3">
      <c r="A95" s="633"/>
      <c r="B95" s="633"/>
      <c r="C95" s="633"/>
      <c r="D95" s="633"/>
      <c r="E95" s="633"/>
      <c r="F95" s="633"/>
      <c r="G95" s="633"/>
      <c r="H95" s="633"/>
      <c r="I95" s="633"/>
      <c r="J95" s="633"/>
      <c r="K95" s="633"/>
      <c r="L95" s="633"/>
      <c r="M95" s="633"/>
      <c r="N95" s="633"/>
      <c r="O95" s="633"/>
      <c r="P95" s="633"/>
      <c r="Q95" s="633"/>
      <c r="R95" s="633"/>
      <c r="S95" s="633"/>
      <c r="T95" s="633"/>
      <c r="U95" s="633"/>
      <c r="V95" s="633"/>
      <c r="W95" s="633"/>
      <c r="X95" s="633"/>
      <c r="Y95" s="633"/>
      <c r="Z95" s="633"/>
    </row>
    <row r="96" spans="1:26" ht="12.75" customHeight="1" x14ac:dyDescent="0.3">
      <c r="A96" s="633"/>
      <c r="B96" s="633"/>
      <c r="C96" s="633"/>
      <c r="D96" s="633"/>
      <c r="E96" s="633"/>
      <c r="F96" s="633"/>
      <c r="G96" s="633"/>
      <c r="H96" s="633"/>
      <c r="I96" s="633"/>
      <c r="J96" s="633"/>
      <c r="K96" s="633"/>
      <c r="L96" s="633"/>
      <c r="M96" s="633"/>
      <c r="N96" s="633"/>
      <c r="O96" s="633"/>
      <c r="P96" s="633"/>
      <c r="Q96" s="633"/>
      <c r="R96" s="633"/>
      <c r="S96" s="633"/>
      <c r="T96" s="633"/>
      <c r="U96" s="633"/>
      <c r="V96" s="633"/>
      <c r="W96" s="633"/>
      <c r="X96" s="633"/>
      <c r="Y96" s="633"/>
      <c r="Z96" s="633"/>
    </row>
    <row r="97" spans="1:26" ht="12.75" customHeight="1" x14ac:dyDescent="0.3">
      <c r="A97" s="633"/>
      <c r="B97" s="633"/>
      <c r="C97" s="633"/>
      <c r="D97" s="633"/>
      <c r="E97" s="633"/>
      <c r="F97" s="633"/>
      <c r="G97" s="633"/>
      <c r="H97" s="633"/>
      <c r="I97" s="633"/>
      <c r="J97" s="633"/>
      <c r="K97" s="633"/>
      <c r="L97" s="633"/>
      <c r="M97" s="633"/>
      <c r="N97" s="633"/>
      <c r="O97" s="633"/>
      <c r="P97" s="633"/>
      <c r="Q97" s="633"/>
      <c r="R97" s="633"/>
      <c r="S97" s="633"/>
      <c r="T97" s="633"/>
      <c r="U97" s="633"/>
      <c r="V97" s="633"/>
      <c r="W97" s="633"/>
      <c r="X97" s="633"/>
      <c r="Y97" s="633"/>
      <c r="Z97" s="633"/>
    </row>
    <row r="98" spans="1:26" ht="12.75" customHeight="1" x14ac:dyDescent="0.3">
      <c r="A98" s="633"/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633"/>
      <c r="P98" s="633"/>
      <c r="Q98" s="633"/>
      <c r="R98" s="633"/>
      <c r="S98" s="633"/>
      <c r="T98" s="633"/>
      <c r="U98" s="633"/>
      <c r="V98" s="633"/>
      <c r="W98" s="633"/>
      <c r="X98" s="633"/>
      <c r="Y98" s="633"/>
      <c r="Z98" s="633"/>
    </row>
    <row r="99" spans="1:26" ht="12.75" customHeight="1" x14ac:dyDescent="0.3">
      <c r="A99" s="633"/>
      <c r="B99" s="633"/>
      <c r="C99" s="633"/>
      <c r="D99" s="633"/>
      <c r="E99" s="633"/>
      <c r="F99" s="633"/>
      <c r="G99" s="633"/>
      <c r="H99" s="633"/>
      <c r="I99" s="633"/>
      <c r="J99" s="633"/>
      <c r="K99" s="633"/>
      <c r="L99" s="633"/>
      <c r="M99" s="633"/>
      <c r="N99" s="633"/>
      <c r="O99" s="633"/>
      <c r="P99" s="633"/>
      <c r="Q99" s="633"/>
      <c r="R99" s="633"/>
      <c r="S99" s="633"/>
      <c r="T99" s="633"/>
      <c r="U99" s="633"/>
      <c r="V99" s="633"/>
      <c r="W99" s="633"/>
      <c r="X99" s="633"/>
      <c r="Y99" s="633"/>
      <c r="Z99" s="633"/>
    </row>
    <row r="100" spans="1:26" ht="12.75" customHeight="1" x14ac:dyDescent="0.3">
      <c r="A100" s="633"/>
      <c r="B100" s="633"/>
      <c r="C100" s="633"/>
      <c r="D100" s="633"/>
      <c r="E100" s="633"/>
      <c r="F100" s="633"/>
      <c r="G100" s="633"/>
      <c r="H100" s="633"/>
      <c r="I100" s="633"/>
      <c r="J100" s="633"/>
      <c r="K100" s="633"/>
      <c r="L100" s="633"/>
      <c r="M100" s="633"/>
      <c r="N100" s="633"/>
      <c r="O100" s="633"/>
      <c r="P100" s="633"/>
      <c r="Q100" s="633"/>
      <c r="R100" s="633"/>
      <c r="S100" s="633"/>
      <c r="T100" s="633"/>
      <c r="U100" s="633"/>
      <c r="V100" s="633"/>
      <c r="W100" s="633"/>
      <c r="X100" s="633"/>
      <c r="Y100" s="633"/>
      <c r="Z100" s="633"/>
    </row>
    <row r="101" spans="1:26" ht="12.75" customHeight="1" x14ac:dyDescent="0.3">
      <c r="A101" s="633"/>
      <c r="B101" s="633"/>
      <c r="C101" s="633"/>
      <c r="D101" s="633"/>
      <c r="E101" s="633"/>
      <c r="F101" s="633"/>
      <c r="G101" s="633"/>
      <c r="H101" s="633"/>
      <c r="I101" s="633"/>
      <c r="J101" s="633"/>
      <c r="K101" s="633"/>
      <c r="L101" s="633"/>
      <c r="M101" s="633"/>
      <c r="N101" s="633"/>
      <c r="O101" s="633"/>
      <c r="P101" s="633"/>
      <c r="Q101" s="633"/>
      <c r="R101" s="633"/>
      <c r="S101" s="633"/>
      <c r="T101" s="633"/>
      <c r="U101" s="633"/>
      <c r="V101" s="633"/>
      <c r="W101" s="633"/>
      <c r="X101" s="633"/>
      <c r="Y101" s="633"/>
      <c r="Z101" s="633"/>
    </row>
    <row r="102" spans="1:26" ht="12.75" customHeight="1" x14ac:dyDescent="0.3">
      <c r="A102" s="633"/>
      <c r="B102" s="633"/>
      <c r="C102" s="633"/>
      <c r="D102" s="633"/>
      <c r="E102" s="633"/>
      <c r="F102" s="633"/>
      <c r="G102" s="633"/>
      <c r="H102" s="633"/>
      <c r="I102" s="633"/>
      <c r="J102" s="633"/>
      <c r="K102" s="633"/>
      <c r="L102" s="633"/>
      <c r="M102" s="633"/>
      <c r="N102" s="633"/>
      <c r="O102" s="633"/>
      <c r="P102" s="633"/>
      <c r="Q102" s="633"/>
      <c r="R102" s="633"/>
      <c r="S102" s="633"/>
      <c r="T102" s="633"/>
      <c r="U102" s="633"/>
      <c r="V102" s="633"/>
      <c r="W102" s="633"/>
      <c r="X102" s="633"/>
      <c r="Y102" s="633"/>
      <c r="Z102" s="633"/>
    </row>
    <row r="103" spans="1:26" ht="12.75" customHeight="1" x14ac:dyDescent="0.3">
      <c r="A103" s="633"/>
      <c r="B103" s="633"/>
      <c r="C103" s="633"/>
      <c r="D103" s="633"/>
      <c r="E103" s="633"/>
      <c r="F103" s="633"/>
      <c r="G103" s="633"/>
      <c r="H103" s="633"/>
      <c r="I103" s="633"/>
      <c r="J103" s="633"/>
      <c r="K103" s="633"/>
      <c r="L103" s="633"/>
      <c r="M103" s="633"/>
      <c r="N103" s="633"/>
      <c r="O103" s="633"/>
      <c r="P103" s="633"/>
      <c r="Q103" s="633"/>
      <c r="R103" s="633"/>
      <c r="S103" s="633"/>
      <c r="T103" s="633"/>
      <c r="U103" s="633"/>
      <c r="V103" s="633"/>
      <c r="W103" s="633"/>
      <c r="X103" s="633"/>
      <c r="Y103" s="633"/>
      <c r="Z103" s="633"/>
    </row>
    <row r="104" spans="1:26" ht="12.75" customHeight="1" x14ac:dyDescent="0.3">
      <c r="A104" s="633"/>
      <c r="B104" s="633"/>
      <c r="C104" s="633"/>
      <c r="D104" s="633"/>
      <c r="E104" s="633"/>
      <c r="F104" s="633"/>
      <c r="G104" s="633"/>
      <c r="H104" s="633"/>
      <c r="I104" s="633"/>
      <c r="J104" s="633"/>
      <c r="K104" s="633"/>
      <c r="L104" s="633"/>
      <c r="M104" s="633"/>
      <c r="N104" s="633"/>
      <c r="O104" s="633"/>
      <c r="P104" s="633"/>
      <c r="Q104" s="633"/>
      <c r="R104" s="633"/>
      <c r="S104" s="633"/>
      <c r="T104" s="633"/>
      <c r="U104" s="633"/>
      <c r="V104" s="633"/>
      <c r="W104" s="633"/>
      <c r="X104" s="633"/>
      <c r="Y104" s="633"/>
      <c r="Z104" s="633"/>
    </row>
    <row r="105" spans="1:26" ht="12.75" customHeight="1" x14ac:dyDescent="0.3">
      <c r="A105" s="633"/>
      <c r="B105" s="633"/>
      <c r="C105" s="633"/>
      <c r="D105" s="633"/>
      <c r="E105" s="633"/>
      <c r="F105" s="633"/>
      <c r="G105" s="633"/>
      <c r="H105" s="633"/>
      <c r="I105" s="633"/>
      <c r="J105" s="633"/>
      <c r="K105" s="633"/>
      <c r="L105" s="633"/>
      <c r="M105" s="633"/>
      <c r="N105" s="633"/>
      <c r="O105" s="633"/>
      <c r="P105" s="633"/>
      <c r="Q105" s="633"/>
      <c r="R105" s="633"/>
      <c r="S105" s="633"/>
      <c r="T105" s="633"/>
      <c r="U105" s="633"/>
      <c r="V105" s="633"/>
      <c r="W105" s="633"/>
      <c r="X105" s="633"/>
      <c r="Y105" s="633"/>
      <c r="Z105" s="633"/>
    </row>
    <row r="106" spans="1:26" ht="12.75" customHeight="1" x14ac:dyDescent="0.3">
      <c r="A106" s="633"/>
      <c r="B106" s="633"/>
      <c r="C106" s="633"/>
      <c r="D106" s="633"/>
      <c r="E106" s="633"/>
      <c r="F106" s="633"/>
      <c r="G106" s="633"/>
      <c r="H106" s="633"/>
      <c r="I106" s="633"/>
      <c r="J106" s="633"/>
      <c r="K106" s="633"/>
      <c r="L106" s="633"/>
      <c r="M106" s="633"/>
      <c r="N106" s="633"/>
      <c r="O106" s="633"/>
      <c r="P106" s="633"/>
      <c r="Q106" s="633"/>
      <c r="R106" s="633"/>
      <c r="S106" s="633"/>
      <c r="T106" s="633"/>
      <c r="U106" s="633"/>
      <c r="V106" s="633"/>
      <c r="W106" s="633"/>
      <c r="X106" s="633"/>
      <c r="Y106" s="633"/>
      <c r="Z106" s="633"/>
    </row>
    <row r="107" spans="1:26" ht="12.75" customHeight="1" x14ac:dyDescent="0.3">
      <c r="A107" s="633"/>
      <c r="B107" s="633"/>
      <c r="C107" s="633"/>
      <c r="D107" s="633"/>
      <c r="E107" s="633"/>
      <c r="F107" s="633"/>
      <c r="G107" s="633"/>
      <c r="H107" s="633"/>
      <c r="I107" s="633"/>
      <c r="J107" s="633"/>
      <c r="K107" s="633"/>
      <c r="L107" s="633"/>
      <c r="M107" s="633"/>
      <c r="N107" s="633"/>
      <c r="O107" s="633"/>
      <c r="P107" s="633"/>
      <c r="Q107" s="633"/>
      <c r="R107" s="633"/>
      <c r="S107" s="633"/>
      <c r="T107" s="633"/>
      <c r="U107" s="633"/>
      <c r="V107" s="633"/>
      <c r="W107" s="633"/>
      <c r="X107" s="633"/>
      <c r="Y107" s="633"/>
      <c r="Z107" s="633"/>
    </row>
    <row r="108" spans="1:26" ht="12.75" customHeight="1" x14ac:dyDescent="0.3">
      <c r="A108" s="633"/>
      <c r="B108" s="633"/>
      <c r="C108" s="633"/>
      <c r="D108" s="633"/>
      <c r="E108" s="633"/>
      <c r="F108" s="633"/>
      <c r="G108" s="633"/>
      <c r="H108" s="633"/>
      <c r="I108" s="633"/>
      <c r="J108" s="633"/>
      <c r="K108" s="633"/>
      <c r="L108" s="633"/>
      <c r="M108" s="633"/>
      <c r="N108" s="633"/>
      <c r="O108" s="633"/>
      <c r="P108" s="633"/>
      <c r="Q108" s="633"/>
      <c r="R108" s="633"/>
      <c r="S108" s="633"/>
      <c r="T108" s="633"/>
      <c r="U108" s="633"/>
      <c r="V108" s="633"/>
      <c r="W108" s="633"/>
      <c r="X108" s="633"/>
      <c r="Y108" s="633"/>
      <c r="Z108" s="633"/>
    </row>
    <row r="109" spans="1:26" ht="12.75" customHeight="1" x14ac:dyDescent="0.3">
      <c r="A109" s="633"/>
      <c r="B109" s="633"/>
      <c r="C109" s="633"/>
      <c r="D109" s="633"/>
      <c r="E109" s="633"/>
      <c r="F109" s="633"/>
      <c r="G109" s="633"/>
      <c r="H109" s="633"/>
      <c r="I109" s="633"/>
      <c r="J109" s="633"/>
      <c r="K109" s="633"/>
      <c r="L109" s="633"/>
      <c r="M109" s="633"/>
      <c r="N109" s="633"/>
      <c r="O109" s="633"/>
      <c r="P109" s="633"/>
      <c r="Q109" s="633"/>
      <c r="R109" s="633"/>
      <c r="S109" s="633"/>
      <c r="T109" s="633"/>
      <c r="U109" s="633"/>
      <c r="V109" s="633"/>
      <c r="W109" s="633"/>
      <c r="X109" s="633"/>
      <c r="Y109" s="633"/>
      <c r="Z109" s="633"/>
    </row>
    <row r="110" spans="1:26" ht="12.75" customHeight="1" x14ac:dyDescent="0.3">
      <c r="A110" s="633"/>
      <c r="B110" s="633"/>
      <c r="C110" s="633"/>
      <c r="D110" s="633"/>
      <c r="E110" s="633"/>
      <c r="F110" s="633"/>
      <c r="G110" s="633"/>
      <c r="H110" s="633"/>
      <c r="I110" s="633"/>
      <c r="J110" s="633"/>
      <c r="K110" s="633"/>
      <c r="L110" s="633"/>
      <c r="M110" s="633"/>
      <c r="N110" s="633"/>
      <c r="O110" s="633"/>
      <c r="P110" s="633"/>
      <c r="Q110" s="633"/>
      <c r="R110" s="633"/>
      <c r="S110" s="633"/>
      <c r="T110" s="633"/>
      <c r="U110" s="633"/>
      <c r="V110" s="633"/>
      <c r="W110" s="633"/>
      <c r="X110" s="633"/>
      <c r="Y110" s="633"/>
      <c r="Z110" s="633"/>
    </row>
    <row r="111" spans="1:26" ht="12.75" customHeight="1" x14ac:dyDescent="0.3">
      <c r="A111" s="633"/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</row>
    <row r="112" spans="1:26" ht="12.75" customHeight="1" x14ac:dyDescent="0.3">
      <c r="A112" s="633"/>
      <c r="B112" s="633"/>
      <c r="C112" s="633"/>
      <c r="D112" s="633"/>
      <c r="E112" s="633"/>
      <c r="F112" s="633"/>
      <c r="G112" s="633"/>
      <c r="H112" s="633"/>
      <c r="I112" s="633"/>
      <c r="J112" s="633"/>
      <c r="K112" s="633"/>
      <c r="L112" s="633"/>
      <c r="M112" s="633"/>
      <c r="N112" s="633"/>
      <c r="O112" s="633"/>
      <c r="P112" s="633"/>
      <c r="Q112" s="633"/>
      <c r="R112" s="633"/>
      <c r="S112" s="633"/>
      <c r="T112" s="633"/>
      <c r="U112" s="633"/>
      <c r="V112" s="633"/>
      <c r="W112" s="633"/>
      <c r="X112" s="633"/>
      <c r="Y112" s="633"/>
      <c r="Z112" s="633"/>
    </row>
    <row r="113" spans="1:26" ht="12.75" customHeight="1" x14ac:dyDescent="0.3">
      <c r="A113" s="633"/>
      <c r="B113" s="633"/>
      <c r="C113" s="633"/>
      <c r="D113" s="633"/>
      <c r="E113" s="633"/>
      <c r="F113" s="633"/>
      <c r="G113" s="633"/>
      <c r="H113" s="633"/>
      <c r="I113" s="633"/>
      <c r="J113" s="633"/>
      <c r="K113" s="633"/>
      <c r="L113" s="633"/>
      <c r="M113" s="633"/>
      <c r="N113" s="633"/>
      <c r="O113" s="633"/>
      <c r="P113" s="633"/>
      <c r="Q113" s="633"/>
      <c r="R113" s="633"/>
      <c r="S113" s="633"/>
      <c r="T113" s="633"/>
      <c r="U113" s="633"/>
      <c r="V113" s="633"/>
      <c r="W113" s="633"/>
      <c r="X113" s="633"/>
      <c r="Y113" s="633"/>
      <c r="Z113" s="633"/>
    </row>
    <row r="114" spans="1:26" ht="12.75" customHeight="1" x14ac:dyDescent="0.3">
      <c r="A114" s="633"/>
      <c r="B114" s="633"/>
      <c r="C114" s="633"/>
      <c r="D114" s="633"/>
      <c r="E114" s="633"/>
      <c r="F114" s="633"/>
      <c r="G114" s="633"/>
      <c r="H114" s="633"/>
      <c r="I114" s="633"/>
      <c r="J114" s="633"/>
      <c r="K114" s="633"/>
      <c r="L114" s="633"/>
      <c r="M114" s="633"/>
      <c r="N114" s="633"/>
      <c r="O114" s="633"/>
      <c r="P114" s="633"/>
      <c r="Q114" s="633"/>
      <c r="R114" s="633"/>
      <c r="S114" s="633"/>
      <c r="T114" s="633"/>
      <c r="U114" s="633"/>
      <c r="V114" s="633"/>
      <c r="W114" s="633"/>
      <c r="X114" s="633"/>
      <c r="Y114" s="633"/>
      <c r="Z114" s="633"/>
    </row>
    <row r="115" spans="1:26" ht="12.75" customHeight="1" x14ac:dyDescent="0.3">
      <c r="A115" s="633"/>
      <c r="B115" s="633"/>
      <c r="C115" s="633"/>
      <c r="D115" s="633"/>
      <c r="E115" s="633"/>
      <c r="F115" s="633"/>
      <c r="G115" s="633"/>
      <c r="H115" s="633"/>
      <c r="I115" s="633"/>
      <c r="J115" s="633"/>
      <c r="K115" s="633"/>
      <c r="L115" s="633"/>
      <c r="M115" s="633"/>
      <c r="N115" s="633"/>
      <c r="O115" s="633"/>
      <c r="P115" s="633"/>
      <c r="Q115" s="633"/>
      <c r="R115" s="633"/>
      <c r="S115" s="633"/>
      <c r="T115" s="633"/>
      <c r="U115" s="633"/>
      <c r="V115" s="633"/>
      <c r="W115" s="633"/>
      <c r="X115" s="633"/>
      <c r="Y115" s="633"/>
      <c r="Z115" s="633"/>
    </row>
    <row r="116" spans="1:26" ht="12.75" customHeight="1" x14ac:dyDescent="0.3">
      <c r="A116" s="633"/>
      <c r="B116" s="633"/>
      <c r="C116" s="633"/>
      <c r="D116" s="633"/>
      <c r="E116" s="633"/>
      <c r="F116" s="633"/>
      <c r="G116" s="633"/>
      <c r="H116" s="633"/>
      <c r="I116" s="633"/>
      <c r="J116" s="633"/>
      <c r="K116" s="633"/>
      <c r="L116" s="633"/>
      <c r="M116" s="633"/>
      <c r="N116" s="633"/>
      <c r="O116" s="633"/>
      <c r="P116" s="633"/>
      <c r="Q116" s="633"/>
      <c r="R116" s="633"/>
      <c r="S116" s="633"/>
      <c r="T116" s="633"/>
      <c r="U116" s="633"/>
      <c r="V116" s="633"/>
      <c r="W116" s="633"/>
      <c r="X116" s="633"/>
      <c r="Y116" s="633"/>
      <c r="Z116" s="633"/>
    </row>
    <row r="117" spans="1:26" ht="12.75" customHeight="1" x14ac:dyDescent="0.3">
      <c r="A117" s="633"/>
      <c r="B117" s="633"/>
      <c r="C117" s="633"/>
      <c r="D117" s="633"/>
      <c r="E117" s="633"/>
      <c r="F117" s="633"/>
      <c r="G117" s="633"/>
      <c r="H117" s="633"/>
      <c r="I117" s="633"/>
      <c r="J117" s="633"/>
      <c r="K117" s="633"/>
      <c r="L117" s="633"/>
      <c r="M117" s="633"/>
      <c r="N117" s="633"/>
      <c r="O117" s="633"/>
      <c r="P117" s="633"/>
      <c r="Q117" s="633"/>
      <c r="R117" s="633"/>
      <c r="S117" s="633"/>
      <c r="T117" s="633"/>
      <c r="U117" s="633"/>
      <c r="V117" s="633"/>
      <c r="W117" s="633"/>
      <c r="X117" s="633"/>
      <c r="Y117" s="633"/>
      <c r="Z117" s="633"/>
    </row>
    <row r="118" spans="1:26" ht="12.75" customHeight="1" x14ac:dyDescent="0.3">
      <c r="A118" s="633"/>
      <c r="B118" s="633"/>
      <c r="C118" s="633"/>
      <c r="D118" s="633"/>
      <c r="E118" s="633"/>
      <c r="F118" s="633"/>
      <c r="G118" s="633"/>
      <c r="H118" s="633"/>
      <c r="I118" s="633"/>
      <c r="J118" s="633"/>
      <c r="K118" s="633"/>
      <c r="L118" s="633"/>
      <c r="M118" s="633"/>
      <c r="N118" s="633"/>
      <c r="O118" s="633"/>
      <c r="P118" s="633"/>
      <c r="Q118" s="633"/>
      <c r="R118" s="633"/>
      <c r="S118" s="633"/>
      <c r="T118" s="633"/>
      <c r="U118" s="633"/>
      <c r="V118" s="633"/>
      <c r="W118" s="633"/>
      <c r="X118" s="633"/>
      <c r="Y118" s="633"/>
      <c r="Z118" s="633"/>
    </row>
    <row r="119" spans="1:26" ht="12.75" customHeight="1" x14ac:dyDescent="0.3">
      <c r="A119" s="633"/>
      <c r="B119" s="633"/>
      <c r="C119" s="633"/>
      <c r="D119" s="633"/>
      <c r="E119" s="633"/>
      <c r="F119" s="633"/>
      <c r="G119" s="633"/>
      <c r="H119" s="633"/>
      <c r="I119" s="633"/>
      <c r="J119" s="633"/>
      <c r="K119" s="633"/>
      <c r="L119" s="633"/>
      <c r="M119" s="633"/>
      <c r="N119" s="633"/>
      <c r="O119" s="633"/>
      <c r="P119" s="633"/>
      <c r="Q119" s="633"/>
      <c r="R119" s="633"/>
      <c r="S119" s="633"/>
      <c r="T119" s="633"/>
      <c r="U119" s="633"/>
      <c r="V119" s="633"/>
      <c r="W119" s="633"/>
      <c r="X119" s="633"/>
      <c r="Y119" s="633"/>
      <c r="Z119" s="633"/>
    </row>
    <row r="120" spans="1:26" ht="12.75" customHeight="1" x14ac:dyDescent="0.3">
      <c r="A120" s="633"/>
      <c r="B120" s="633"/>
      <c r="C120" s="633"/>
      <c r="D120" s="633"/>
      <c r="E120" s="633"/>
      <c r="F120" s="633"/>
      <c r="G120" s="633"/>
      <c r="H120" s="633"/>
      <c r="I120" s="633"/>
      <c r="J120" s="633"/>
      <c r="K120" s="633"/>
      <c r="L120" s="633"/>
      <c r="M120" s="633"/>
      <c r="N120" s="633"/>
      <c r="O120" s="633"/>
      <c r="P120" s="633"/>
      <c r="Q120" s="633"/>
      <c r="R120" s="633"/>
      <c r="S120" s="633"/>
      <c r="T120" s="633"/>
      <c r="U120" s="633"/>
      <c r="V120" s="633"/>
      <c r="W120" s="633"/>
      <c r="X120" s="633"/>
      <c r="Y120" s="633"/>
      <c r="Z120" s="633"/>
    </row>
    <row r="121" spans="1:26" ht="12.75" customHeight="1" x14ac:dyDescent="0.3">
      <c r="A121" s="633"/>
      <c r="B121" s="633"/>
      <c r="C121" s="633"/>
      <c r="D121" s="633"/>
      <c r="E121" s="633"/>
      <c r="F121" s="633"/>
      <c r="G121" s="633"/>
      <c r="H121" s="633"/>
      <c r="I121" s="633"/>
      <c r="J121" s="633"/>
      <c r="K121" s="633"/>
      <c r="L121" s="633"/>
      <c r="M121" s="633"/>
      <c r="N121" s="633"/>
      <c r="O121" s="633"/>
      <c r="P121" s="633"/>
      <c r="Q121" s="633"/>
      <c r="R121" s="633"/>
      <c r="S121" s="633"/>
      <c r="T121" s="633"/>
      <c r="U121" s="633"/>
      <c r="V121" s="633"/>
      <c r="W121" s="633"/>
      <c r="X121" s="633"/>
      <c r="Y121" s="633"/>
      <c r="Z121" s="633"/>
    </row>
    <row r="122" spans="1:26" ht="12.75" customHeight="1" x14ac:dyDescent="0.3">
      <c r="A122" s="633"/>
      <c r="B122" s="633"/>
      <c r="C122" s="633"/>
      <c r="D122" s="633"/>
      <c r="E122" s="633"/>
      <c r="F122" s="633"/>
      <c r="G122" s="633"/>
      <c r="H122" s="633"/>
      <c r="I122" s="633"/>
      <c r="J122" s="633"/>
      <c r="K122" s="633"/>
      <c r="L122" s="633"/>
      <c r="M122" s="633"/>
      <c r="N122" s="633"/>
      <c r="O122" s="633"/>
      <c r="P122" s="633"/>
      <c r="Q122" s="633"/>
      <c r="R122" s="633"/>
      <c r="S122" s="633"/>
      <c r="T122" s="633"/>
      <c r="U122" s="633"/>
      <c r="V122" s="633"/>
      <c r="W122" s="633"/>
      <c r="X122" s="633"/>
      <c r="Y122" s="633"/>
      <c r="Z122" s="633"/>
    </row>
    <row r="123" spans="1:26" ht="12.75" customHeight="1" x14ac:dyDescent="0.3">
      <c r="A123" s="633"/>
      <c r="B123" s="633"/>
      <c r="C123" s="633"/>
      <c r="D123" s="633"/>
      <c r="E123" s="633"/>
      <c r="F123" s="633"/>
      <c r="G123" s="633"/>
      <c r="H123" s="633"/>
      <c r="I123" s="633"/>
      <c r="J123" s="633"/>
      <c r="K123" s="633"/>
      <c r="L123" s="633"/>
      <c r="M123" s="633"/>
      <c r="N123" s="633"/>
      <c r="O123" s="633"/>
      <c r="P123" s="633"/>
      <c r="Q123" s="633"/>
      <c r="R123" s="633"/>
      <c r="S123" s="633"/>
      <c r="T123" s="633"/>
      <c r="U123" s="633"/>
      <c r="V123" s="633"/>
      <c r="W123" s="633"/>
      <c r="X123" s="633"/>
      <c r="Y123" s="633"/>
      <c r="Z123" s="633"/>
    </row>
    <row r="124" spans="1:26" ht="12.75" customHeight="1" x14ac:dyDescent="0.3">
      <c r="A124" s="633"/>
      <c r="B124" s="633"/>
      <c r="C124" s="633"/>
      <c r="D124" s="633"/>
      <c r="E124" s="633"/>
      <c r="F124" s="633"/>
      <c r="G124" s="633"/>
      <c r="H124" s="633"/>
      <c r="I124" s="633"/>
      <c r="J124" s="633"/>
      <c r="K124" s="633"/>
      <c r="L124" s="633"/>
      <c r="M124" s="633"/>
      <c r="N124" s="633"/>
      <c r="O124" s="633"/>
      <c r="P124" s="633"/>
      <c r="Q124" s="633"/>
      <c r="R124" s="633"/>
      <c r="S124" s="633"/>
      <c r="T124" s="633"/>
      <c r="U124" s="633"/>
      <c r="V124" s="633"/>
      <c r="W124" s="633"/>
      <c r="X124" s="633"/>
      <c r="Y124" s="633"/>
      <c r="Z124" s="633"/>
    </row>
    <row r="125" spans="1:26" ht="12.75" customHeight="1" x14ac:dyDescent="0.3">
      <c r="A125" s="633"/>
      <c r="B125" s="633"/>
      <c r="C125" s="633"/>
      <c r="D125" s="633"/>
      <c r="E125" s="633"/>
      <c r="F125" s="633"/>
      <c r="G125" s="633"/>
      <c r="H125" s="633"/>
      <c r="I125" s="633"/>
      <c r="J125" s="633"/>
      <c r="K125" s="633"/>
      <c r="L125" s="633"/>
      <c r="M125" s="633"/>
      <c r="N125" s="633"/>
      <c r="O125" s="633"/>
      <c r="P125" s="633"/>
      <c r="Q125" s="633"/>
      <c r="R125" s="633"/>
      <c r="S125" s="633"/>
      <c r="T125" s="633"/>
      <c r="U125" s="633"/>
      <c r="V125" s="633"/>
      <c r="W125" s="633"/>
      <c r="X125" s="633"/>
      <c r="Y125" s="633"/>
      <c r="Z125" s="633"/>
    </row>
    <row r="126" spans="1:26" ht="12.75" customHeight="1" x14ac:dyDescent="0.3">
      <c r="A126" s="633"/>
      <c r="B126" s="633"/>
      <c r="C126" s="633"/>
      <c r="D126" s="633"/>
      <c r="E126" s="633"/>
      <c r="F126" s="633"/>
      <c r="G126" s="633"/>
      <c r="H126" s="633"/>
      <c r="I126" s="633"/>
      <c r="J126" s="633"/>
      <c r="K126" s="633"/>
      <c r="L126" s="633"/>
      <c r="M126" s="633"/>
      <c r="N126" s="633"/>
      <c r="O126" s="633"/>
      <c r="P126" s="633"/>
      <c r="Q126" s="633"/>
      <c r="R126" s="633"/>
      <c r="S126" s="633"/>
      <c r="T126" s="633"/>
      <c r="U126" s="633"/>
      <c r="V126" s="633"/>
      <c r="W126" s="633"/>
      <c r="X126" s="633"/>
      <c r="Y126" s="633"/>
      <c r="Z126" s="633"/>
    </row>
    <row r="127" spans="1:26" ht="12.75" customHeight="1" x14ac:dyDescent="0.3">
      <c r="A127" s="633"/>
      <c r="B127" s="633"/>
      <c r="C127" s="633"/>
      <c r="D127" s="633"/>
      <c r="E127" s="633"/>
      <c r="F127" s="633"/>
      <c r="G127" s="633"/>
      <c r="H127" s="633"/>
      <c r="I127" s="633"/>
      <c r="J127" s="633"/>
      <c r="K127" s="633"/>
      <c r="L127" s="633"/>
      <c r="M127" s="633"/>
      <c r="N127" s="633"/>
      <c r="O127" s="633"/>
      <c r="P127" s="633"/>
      <c r="Q127" s="633"/>
      <c r="R127" s="633"/>
      <c r="S127" s="633"/>
      <c r="T127" s="633"/>
      <c r="U127" s="633"/>
      <c r="V127" s="633"/>
      <c r="W127" s="633"/>
      <c r="X127" s="633"/>
      <c r="Y127" s="633"/>
      <c r="Z127" s="633"/>
    </row>
    <row r="128" spans="1:26" ht="12.75" customHeight="1" x14ac:dyDescent="0.3">
      <c r="A128" s="633"/>
      <c r="B128" s="633"/>
      <c r="C128" s="633"/>
      <c r="D128" s="633"/>
      <c r="E128" s="633"/>
      <c r="F128" s="633"/>
      <c r="G128" s="633"/>
      <c r="H128" s="633"/>
      <c r="I128" s="633"/>
      <c r="J128" s="633"/>
      <c r="K128" s="633"/>
      <c r="L128" s="633"/>
      <c r="M128" s="633"/>
      <c r="N128" s="633"/>
      <c r="O128" s="633"/>
      <c r="P128" s="633"/>
      <c r="Q128" s="633"/>
      <c r="R128" s="633"/>
      <c r="S128" s="633"/>
      <c r="T128" s="633"/>
      <c r="U128" s="633"/>
      <c r="V128" s="633"/>
      <c r="W128" s="633"/>
      <c r="X128" s="633"/>
      <c r="Y128" s="633"/>
      <c r="Z128" s="633"/>
    </row>
    <row r="129" spans="1:26" ht="12.75" customHeight="1" x14ac:dyDescent="0.3">
      <c r="A129" s="633"/>
      <c r="B129" s="633"/>
      <c r="C129" s="633"/>
      <c r="D129" s="633"/>
      <c r="E129" s="633"/>
      <c r="F129" s="633"/>
      <c r="G129" s="633"/>
      <c r="H129" s="633"/>
      <c r="I129" s="633"/>
      <c r="J129" s="633"/>
      <c r="K129" s="633"/>
      <c r="L129" s="633"/>
      <c r="M129" s="633"/>
      <c r="N129" s="633"/>
      <c r="O129" s="633"/>
      <c r="P129" s="633"/>
      <c r="Q129" s="633"/>
      <c r="R129" s="633"/>
      <c r="S129" s="633"/>
      <c r="T129" s="633"/>
      <c r="U129" s="633"/>
      <c r="V129" s="633"/>
      <c r="W129" s="633"/>
      <c r="X129" s="633"/>
      <c r="Y129" s="633"/>
      <c r="Z129" s="633"/>
    </row>
    <row r="130" spans="1:26" ht="12.75" customHeight="1" x14ac:dyDescent="0.3">
      <c r="A130" s="633"/>
      <c r="B130" s="633"/>
      <c r="C130" s="633"/>
      <c r="D130" s="633"/>
      <c r="E130" s="633"/>
      <c r="F130" s="633"/>
      <c r="G130" s="633"/>
      <c r="H130" s="633"/>
      <c r="I130" s="633"/>
      <c r="J130" s="633"/>
      <c r="K130" s="633"/>
      <c r="L130" s="633"/>
      <c r="M130" s="633"/>
      <c r="N130" s="633"/>
      <c r="O130" s="633"/>
      <c r="P130" s="633"/>
      <c r="Q130" s="633"/>
      <c r="R130" s="633"/>
      <c r="S130" s="633"/>
      <c r="T130" s="633"/>
      <c r="U130" s="633"/>
      <c r="V130" s="633"/>
      <c r="W130" s="633"/>
      <c r="X130" s="633"/>
      <c r="Y130" s="633"/>
      <c r="Z130" s="633"/>
    </row>
    <row r="131" spans="1:26" ht="12.75" customHeight="1" x14ac:dyDescent="0.3">
      <c r="A131" s="633"/>
      <c r="B131" s="633"/>
      <c r="C131" s="633"/>
      <c r="D131" s="633"/>
      <c r="E131" s="633"/>
      <c r="F131" s="633"/>
      <c r="G131" s="633"/>
      <c r="H131" s="633"/>
      <c r="I131" s="633"/>
      <c r="J131" s="633"/>
      <c r="K131" s="633"/>
      <c r="L131" s="633"/>
      <c r="M131" s="633"/>
      <c r="N131" s="633"/>
      <c r="O131" s="633"/>
      <c r="P131" s="633"/>
      <c r="Q131" s="633"/>
      <c r="R131" s="633"/>
      <c r="S131" s="633"/>
      <c r="T131" s="633"/>
      <c r="U131" s="633"/>
      <c r="V131" s="633"/>
      <c r="W131" s="633"/>
      <c r="X131" s="633"/>
      <c r="Y131" s="633"/>
      <c r="Z131" s="633"/>
    </row>
    <row r="132" spans="1:26" ht="12.75" customHeight="1" x14ac:dyDescent="0.3">
      <c r="A132" s="633"/>
      <c r="B132" s="633"/>
      <c r="C132" s="633"/>
      <c r="D132" s="633"/>
      <c r="E132" s="633"/>
      <c r="F132" s="633"/>
      <c r="G132" s="633"/>
      <c r="H132" s="633"/>
      <c r="I132" s="633"/>
      <c r="J132" s="633"/>
      <c r="K132" s="633"/>
      <c r="L132" s="633"/>
      <c r="M132" s="633"/>
      <c r="N132" s="633"/>
      <c r="O132" s="633"/>
      <c r="P132" s="633"/>
      <c r="Q132" s="633"/>
      <c r="R132" s="633"/>
      <c r="S132" s="633"/>
      <c r="T132" s="633"/>
      <c r="U132" s="633"/>
      <c r="V132" s="633"/>
      <c r="W132" s="633"/>
      <c r="X132" s="633"/>
      <c r="Y132" s="633"/>
      <c r="Z132" s="633"/>
    </row>
    <row r="133" spans="1:26" ht="12.75" customHeight="1" x14ac:dyDescent="0.3">
      <c r="A133" s="633"/>
      <c r="B133" s="633"/>
      <c r="C133" s="633"/>
      <c r="D133" s="633"/>
      <c r="E133" s="633"/>
      <c r="F133" s="633"/>
      <c r="G133" s="633"/>
      <c r="H133" s="633"/>
      <c r="I133" s="633"/>
      <c r="J133" s="633"/>
      <c r="K133" s="633"/>
      <c r="L133" s="633"/>
      <c r="M133" s="633"/>
      <c r="N133" s="633"/>
      <c r="O133" s="633"/>
      <c r="P133" s="633"/>
      <c r="Q133" s="633"/>
      <c r="R133" s="633"/>
      <c r="S133" s="633"/>
      <c r="T133" s="633"/>
      <c r="U133" s="633"/>
      <c r="V133" s="633"/>
      <c r="W133" s="633"/>
      <c r="X133" s="633"/>
      <c r="Y133" s="633"/>
      <c r="Z133" s="633"/>
    </row>
    <row r="134" spans="1:26" ht="12.75" customHeight="1" x14ac:dyDescent="0.3">
      <c r="A134" s="633"/>
      <c r="B134" s="633"/>
      <c r="C134" s="633"/>
      <c r="D134" s="633"/>
      <c r="E134" s="633"/>
      <c r="F134" s="633"/>
      <c r="G134" s="633"/>
      <c r="H134" s="633"/>
      <c r="I134" s="633"/>
      <c r="J134" s="633"/>
      <c r="K134" s="633"/>
      <c r="L134" s="633"/>
      <c r="M134" s="633"/>
      <c r="N134" s="633"/>
      <c r="O134" s="633"/>
      <c r="P134" s="633"/>
      <c r="Q134" s="633"/>
      <c r="R134" s="633"/>
      <c r="S134" s="633"/>
      <c r="T134" s="633"/>
      <c r="U134" s="633"/>
      <c r="V134" s="633"/>
      <c r="W134" s="633"/>
      <c r="X134" s="633"/>
      <c r="Y134" s="633"/>
      <c r="Z134" s="633"/>
    </row>
    <row r="135" spans="1:26" ht="12.75" customHeight="1" x14ac:dyDescent="0.3">
      <c r="A135" s="633"/>
      <c r="B135" s="633"/>
      <c r="C135" s="633"/>
      <c r="D135" s="633"/>
      <c r="E135" s="633"/>
      <c r="F135" s="633"/>
      <c r="G135" s="633"/>
      <c r="H135" s="633"/>
      <c r="I135" s="633"/>
      <c r="J135" s="633"/>
      <c r="K135" s="633"/>
      <c r="L135" s="633"/>
      <c r="M135" s="633"/>
      <c r="N135" s="633"/>
      <c r="O135" s="633"/>
      <c r="P135" s="633"/>
      <c r="Q135" s="633"/>
      <c r="R135" s="633"/>
      <c r="S135" s="633"/>
      <c r="T135" s="633"/>
      <c r="U135" s="633"/>
      <c r="V135" s="633"/>
      <c r="W135" s="633"/>
      <c r="X135" s="633"/>
      <c r="Y135" s="633"/>
      <c r="Z135" s="633"/>
    </row>
    <row r="136" spans="1:26" ht="12.75" customHeight="1" x14ac:dyDescent="0.3">
      <c r="A136" s="633"/>
      <c r="B136" s="633"/>
      <c r="C136" s="633"/>
      <c r="D136" s="633"/>
      <c r="E136" s="633"/>
      <c r="F136" s="633"/>
      <c r="G136" s="633"/>
      <c r="H136" s="633"/>
      <c r="I136" s="633"/>
      <c r="J136" s="633"/>
      <c r="K136" s="633"/>
      <c r="L136" s="633"/>
      <c r="M136" s="633"/>
      <c r="N136" s="633"/>
      <c r="O136" s="633"/>
      <c r="P136" s="633"/>
      <c r="Q136" s="633"/>
      <c r="R136" s="633"/>
      <c r="S136" s="633"/>
      <c r="T136" s="633"/>
      <c r="U136" s="633"/>
      <c r="V136" s="633"/>
      <c r="W136" s="633"/>
      <c r="X136" s="633"/>
      <c r="Y136" s="633"/>
      <c r="Z136" s="633"/>
    </row>
    <row r="137" spans="1:26" ht="12.75" customHeight="1" x14ac:dyDescent="0.3">
      <c r="A137" s="633"/>
      <c r="B137" s="633"/>
      <c r="C137" s="633"/>
      <c r="D137" s="633"/>
      <c r="E137" s="633"/>
      <c r="F137" s="633"/>
      <c r="G137" s="633"/>
      <c r="H137" s="633"/>
      <c r="I137" s="633"/>
      <c r="J137" s="633"/>
      <c r="K137" s="633"/>
      <c r="L137" s="633"/>
      <c r="M137" s="633"/>
      <c r="N137" s="633"/>
      <c r="O137" s="633"/>
      <c r="P137" s="633"/>
      <c r="Q137" s="633"/>
      <c r="R137" s="633"/>
      <c r="S137" s="633"/>
      <c r="T137" s="633"/>
      <c r="U137" s="633"/>
      <c r="V137" s="633"/>
      <c r="W137" s="633"/>
      <c r="X137" s="633"/>
      <c r="Y137" s="633"/>
      <c r="Z137" s="633"/>
    </row>
    <row r="138" spans="1:26" ht="12.75" customHeight="1" x14ac:dyDescent="0.3">
      <c r="A138" s="633"/>
      <c r="B138" s="633"/>
      <c r="C138" s="633"/>
      <c r="D138" s="633"/>
      <c r="E138" s="633"/>
      <c r="F138" s="633"/>
      <c r="G138" s="633"/>
      <c r="H138" s="633"/>
      <c r="I138" s="633"/>
      <c r="J138" s="633"/>
      <c r="K138" s="633"/>
      <c r="L138" s="633"/>
      <c r="M138" s="633"/>
      <c r="N138" s="633"/>
      <c r="O138" s="633"/>
      <c r="P138" s="633"/>
      <c r="Q138" s="633"/>
      <c r="R138" s="633"/>
      <c r="S138" s="633"/>
      <c r="T138" s="633"/>
      <c r="U138" s="633"/>
      <c r="V138" s="633"/>
      <c r="W138" s="633"/>
      <c r="X138" s="633"/>
      <c r="Y138" s="633"/>
      <c r="Z138" s="633"/>
    </row>
    <row r="139" spans="1:26" ht="12.75" customHeight="1" x14ac:dyDescent="0.3">
      <c r="A139" s="633"/>
      <c r="B139" s="633"/>
      <c r="C139" s="633"/>
      <c r="D139" s="633"/>
      <c r="E139" s="633"/>
      <c r="F139" s="633"/>
      <c r="G139" s="633"/>
      <c r="H139" s="633"/>
      <c r="I139" s="633"/>
      <c r="J139" s="633"/>
      <c r="K139" s="633"/>
      <c r="L139" s="633"/>
      <c r="M139" s="633"/>
      <c r="N139" s="633"/>
      <c r="O139" s="633"/>
      <c r="P139" s="633"/>
      <c r="Q139" s="633"/>
      <c r="R139" s="633"/>
      <c r="S139" s="633"/>
      <c r="T139" s="633"/>
      <c r="U139" s="633"/>
      <c r="V139" s="633"/>
      <c r="W139" s="633"/>
      <c r="X139" s="633"/>
      <c r="Y139" s="633"/>
      <c r="Z139" s="633"/>
    </row>
    <row r="140" spans="1:26" ht="12.75" customHeight="1" x14ac:dyDescent="0.3">
      <c r="A140" s="633"/>
      <c r="B140" s="633"/>
      <c r="C140" s="633"/>
      <c r="D140" s="633"/>
      <c r="E140" s="633"/>
      <c r="F140" s="633"/>
      <c r="G140" s="633"/>
      <c r="H140" s="633"/>
      <c r="I140" s="633"/>
      <c r="J140" s="633"/>
      <c r="K140" s="633"/>
      <c r="L140" s="633"/>
      <c r="M140" s="633"/>
      <c r="N140" s="633"/>
      <c r="O140" s="633"/>
      <c r="P140" s="633"/>
      <c r="Q140" s="633"/>
      <c r="R140" s="633"/>
      <c r="S140" s="633"/>
      <c r="T140" s="633"/>
      <c r="U140" s="633"/>
      <c r="V140" s="633"/>
      <c r="W140" s="633"/>
      <c r="X140" s="633"/>
      <c r="Y140" s="633"/>
      <c r="Z140" s="633"/>
    </row>
    <row r="141" spans="1:26" ht="12.75" customHeight="1" x14ac:dyDescent="0.3">
      <c r="A141" s="633"/>
      <c r="B141" s="633"/>
      <c r="C141" s="633"/>
      <c r="D141" s="633"/>
      <c r="E141" s="633"/>
      <c r="F141" s="633"/>
      <c r="G141" s="633"/>
      <c r="H141" s="633"/>
      <c r="I141" s="633"/>
      <c r="J141" s="633"/>
      <c r="K141" s="633"/>
      <c r="L141" s="633"/>
      <c r="M141" s="633"/>
      <c r="N141" s="633"/>
      <c r="O141" s="633"/>
      <c r="P141" s="633"/>
      <c r="Q141" s="633"/>
      <c r="R141" s="633"/>
      <c r="S141" s="633"/>
      <c r="T141" s="633"/>
      <c r="U141" s="633"/>
      <c r="V141" s="633"/>
      <c r="W141" s="633"/>
      <c r="X141" s="633"/>
      <c r="Y141" s="633"/>
      <c r="Z141" s="633"/>
    </row>
    <row r="142" spans="1:26" ht="12.75" customHeight="1" x14ac:dyDescent="0.3">
      <c r="A142" s="633"/>
      <c r="B142" s="633"/>
      <c r="C142" s="633"/>
      <c r="D142" s="633"/>
      <c r="E142" s="633"/>
      <c r="F142" s="633"/>
      <c r="G142" s="633"/>
      <c r="H142" s="633"/>
      <c r="I142" s="633"/>
      <c r="J142" s="633"/>
      <c r="K142" s="633"/>
      <c r="L142" s="633"/>
      <c r="M142" s="633"/>
      <c r="N142" s="633"/>
      <c r="O142" s="633"/>
      <c r="P142" s="633"/>
      <c r="Q142" s="633"/>
      <c r="R142" s="633"/>
      <c r="S142" s="633"/>
      <c r="T142" s="633"/>
      <c r="U142" s="633"/>
      <c r="V142" s="633"/>
      <c r="W142" s="633"/>
      <c r="X142" s="633"/>
      <c r="Y142" s="633"/>
      <c r="Z142" s="633"/>
    </row>
    <row r="143" spans="1:26" ht="12.75" customHeight="1" x14ac:dyDescent="0.3">
      <c r="A143" s="633"/>
      <c r="B143" s="633"/>
      <c r="C143" s="633"/>
      <c r="D143" s="633"/>
      <c r="E143" s="633"/>
      <c r="F143" s="633"/>
      <c r="G143" s="633"/>
      <c r="H143" s="633"/>
      <c r="I143" s="633"/>
      <c r="J143" s="633"/>
      <c r="K143" s="633"/>
      <c r="L143" s="633"/>
      <c r="M143" s="633"/>
      <c r="N143" s="633"/>
      <c r="O143" s="633"/>
      <c r="P143" s="633"/>
      <c r="Q143" s="633"/>
      <c r="R143" s="633"/>
      <c r="S143" s="633"/>
      <c r="T143" s="633"/>
      <c r="U143" s="633"/>
      <c r="V143" s="633"/>
      <c r="W143" s="633"/>
      <c r="X143" s="633"/>
      <c r="Y143" s="633"/>
      <c r="Z143" s="633"/>
    </row>
    <row r="144" spans="1:26" ht="12.75" customHeight="1" x14ac:dyDescent="0.3">
      <c r="A144" s="633"/>
      <c r="B144" s="633"/>
      <c r="C144" s="633"/>
      <c r="D144" s="633"/>
      <c r="E144" s="633"/>
      <c r="F144" s="633"/>
      <c r="G144" s="633"/>
      <c r="H144" s="633"/>
      <c r="I144" s="633"/>
      <c r="J144" s="633"/>
      <c r="K144" s="633"/>
      <c r="L144" s="633"/>
      <c r="M144" s="633"/>
      <c r="N144" s="633"/>
      <c r="O144" s="633"/>
      <c r="P144" s="633"/>
      <c r="Q144" s="633"/>
      <c r="R144" s="633"/>
      <c r="S144" s="633"/>
      <c r="T144" s="633"/>
      <c r="U144" s="633"/>
      <c r="V144" s="633"/>
      <c r="W144" s="633"/>
      <c r="X144" s="633"/>
      <c r="Y144" s="633"/>
      <c r="Z144" s="633"/>
    </row>
    <row r="145" spans="1:26" ht="12.75" customHeight="1" x14ac:dyDescent="0.3">
      <c r="A145" s="633"/>
      <c r="B145" s="633"/>
      <c r="C145" s="633"/>
      <c r="D145" s="633"/>
      <c r="E145" s="633"/>
      <c r="F145" s="633"/>
      <c r="G145" s="633"/>
      <c r="H145" s="633"/>
      <c r="I145" s="633"/>
      <c r="J145" s="633"/>
      <c r="K145" s="633"/>
      <c r="L145" s="633"/>
      <c r="M145" s="633"/>
      <c r="N145" s="633"/>
      <c r="O145" s="633"/>
      <c r="P145" s="633"/>
      <c r="Q145" s="633"/>
      <c r="R145" s="633"/>
      <c r="S145" s="633"/>
      <c r="T145" s="633"/>
      <c r="U145" s="633"/>
      <c r="V145" s="633"/>
      <c r="W145" s="633"/>
      <c r="X145" s="633"/>
      <c r="Y145" s="633"/>
      <c r="Z145" s="633"/>
    </row>
    <row r="146" spans="1:26" ht="12.75" customHeight="1" x14ac:dyDescent="0.3">
      <c r="A146" s="633"/>
      <c r="B146" s="633"/>
      <c r="C146" s="633"/>
      <c r="D146" s="633"/>
      <c r="E146" s="633"/>
      <c r="F146" s="633"/>
      <c r="G146" s="633"/>
      <c r="H146" s="633"/>
      <c r="I146" s="633"/>
      <c r="J146" s="633"/>
      <c r="K146" s="633"/>
      <c r="L146" s="633"/>
      <c r="M146" s="633"/>
      <c r="N146" s="633"/>
      <c r="O146" s="633"/>
      <c r="P146" s="633"/>
      <c r="Q146" s="633"/>
      <c r="R146" s="633"/>
      <c r="S146" s="633"/>
      <c r="T146" s="633"/>
      <c r="U146" s="633"/>
      <c r="V146" s="633"/>
      <c r="W146" s="633"/>
      <c r="X146" s="633"/>
      <c r="Y146" s="633"/>
      <c r="Z146" s="633"/>
    </row>
    <row r="147" spans="1:26" ht="12.75" customHeight="1" x14ac:dyDescent="0.3">
      <c r="A147" s="633"/>
      <c r="B147" s="633"/>
      <c r="C147" s="633"/>
      <c r="D147" s="633"/>
      <c r="E147" s="633"/>
      <c r="F147" s="633"/>
      <c r="G147" s="633"/>
      <c r="H147" s="633"/>
      <c r="I147" s="633"/>
      <c r="J147" s="633"/>
      <c r="K147" s="633"/>
      <c r="L147" s="633"/>
      <c r="M147" s="633"/>
      <c r="N147" s="633"/>
      <c r="O147" s="633"/>
      <c r="P147" s="633"/>
      <c r="Q147" s="633"/>
      <c r="R147" s="633"/>
      <c r="S147" s="633"/>
      <c r="T147" s="633"/>
      <c r="U147" s="633"/>
      <c r="V147" s="633"/>
      <c r="W147" s="633"/>
      <c r="X147" s="633"/>
      <c r="Y147" s="633"/>
      <c r="Z147" s="633"/>
    </row>
    <row r="148" spans="1:26" ht="12.75" customHeight="1" x14ac:dyDescent="0.3">
      <c r="A148" s="633"/>
      <c r="B148" s="633"/>
      <c r="C148" s="633"/>
      <c r="D148" s="633"/>
      <c r="E148" s="633"/>
      <c r="F148" s="633"/>
      <c r="G148" s="633"/>
      <c r="H148" s="633"/>
      <c r="I148" s="633"/>
      <c r="J148" s="633"/>
      <c r="K148" s="633"/>
      <c r="L148" s="633"/>
      <c r="M148" s="633"/>
      <c r="N148" s="633"/>
      <c r="O148" s="633"/>
      <c r="P148" s="633"/>
      <c r="Q148" s="633"/>
      <c r="R148" s="633"/>
      <c r="S148" s="633"/>
      <c r="T148" s="633"/>
      <c r="U148" s="633"/>
      <c r="V148" s="633"/>
      <c r="W148" s="633"/>
      <c r="X148" s="633"/>
      <c r="Y148" s="633"/>
      <c r="Z148" s="633"/>
    </row>
    <row r="149" spans="1:26" ht="12.75" customHeight="1" x14ac:dyDescent="0.3">
      <c r="A149" s="633"/>
      <c r="B149" s="633"/>
      <c r="C149" s="633"/>
      <c r="D149" s="633"/>
      <c r="E149" s="633"/>
      <c r="F149" s="633"/>
      <c r="G149" s="633"/>
      <c r="H149" s="633"/>
      <c r="I149" s="633"/>
      <c r="J149" s="633"/>
      <c r="K149" s="633"/>
      <c r="L149" s="633"/>
      <c r="M149" s="633"/>
      <c r="N149" s="633"/>
      <c r="O149" s="633"/>
      <c r="P149" s="633"/>
      <c r="Q149" s="633"/>
      <c r="R149" s="633"/>
      <c r="S149" s="633"/>
      <c r="T149" s="633"/>
      <c r="U149" s="633"/>
      <c r="V149" s="633"/>
      <c r="W149" s="633"/>
      <c r="X149" s="633"/>
      <c r="Y149" s="633"/>
      <c r="Z149" s="633"/>
    </row>
    <row r="150" spans="1:26" ht="12.75" customHeight="1" x14ac:dyDescent="0.3">
      <c r="A150" s="633"/>
      <c r="B150" s="633"/>
      <c r="C150" s="633"/>
      <c r="D150" s="633"/>
      <c r="E150" s="633"/>
      <c r="F150" s="633"/>
      <c r="G150" s="633"/>
      <c r="H150" s="633"/>
      <c r="I150" s="633"/>
      <c r="J150" s="633"/>
      <c r="K150" s="633"/>
      <c r="L150" s="633"/>
      <c r="M150" s="633"/>
      <c r="N150" s="633"/>
      <c r="O150" s="633"/>
      <c r="P150" s="633"/>
      <c r="Q150" s="633"/>
      <c r="R150" s="633"/>
      <c r="S150" s="633"/>
      <c r="T150" s="633"/>
      <c r="U150" s="633"/>
      <c r="V150" s="633"/>
      <c r="W150" s="633"/>
      <c r="X150" s="633"/>
      <c r="Y150" s="633"/>
      <c r="Z150" s="633"/>
    </row>
    <row r="151" spans="1:26" ht="12.75" customHeight="1" x14ac:dyDescent="0.3">
      <c r="A151" s="633"/>
      <c r="B151" s="633"/>
      <c r="C151" s="633"/>
      <c r="D151" s="633"/>
      <c r="E151" s="633"/>
      <c r="F151" s="633"/>
      <c r="G151" s="633"/>
      <c r="H151" s="633"/>
      <c r="I151" s="633"/>
      <c r="J151" s="633"/>
      <c r="K151" s="633"/>
      <c r="L151" s="633"/>
      <c r="M151" s="633"/>
      <c r="N151" s="633"/>
      <c r="O151" s="633"/>
      <c r="P151" s="633"/>
      <c r="Q151" s="633"/>
      <c r="R151" s="633"/>
      <c r="S151" s="633"/>
      <c r="T151" s="633"/>
      <c r="U151" s="633"/>
      <c r="V151" s="633"/>
      <c r="W151" s="633"/>
      <c r="X151" s="633"/>
      <c r="Y151" s="633"/>
      <c r="Z151" s="633"/>
    </row>
    <row r="152" spans="1:26" ht="12.75" customHeight="1" x14ac:dyDescent="0.3">
      <c r="A152" s="633"/>
      <c r="B152" s="633"/>
      <c r="C152" s="633"/>
      <c r="D152" s="633"/>
      <c r="E152" s="633"/>
      <c r="F152" s="633"/>
      <c r="G152" s="633"/>
      <c r="H152" s="633"/>
      <c r="I152" s="633"/>
      <c r="J152" s="633"/>
      <c r="K152" s="633"/>
      <c r="L152" s="633"/>
      <c r="M152" s="633"/>
      <c r="N152" s="633"/>
      <c r="O152" s="633"/>
      <c r="P152" s="633"/>
      <c r="Q152" s="633"/>
      <c r="R152" s="633"/>
      <c r="S152" s="633"/>
      <c r="T152" s="633"/>
      <c r="U152" s="633"/>
      <c r="V152" s="633"/>
      <c r="W152" s="633"/>
      <c r="X152" s="633"/>
      <c r="Y152" s="633"/>
      <c r="Z152" s="633"/>
    </row>
    <row r="153" spans="1:26" ht="12.75" customHeight="1" x14ac:dyDescent="0.3">
      <c r="A153" s="633"/>
      <c r="B153" s="633"/>
      <c r="C153" s="633"/>
      <c r="D153" s="633"/>
      <c r="E153" s="633"/>
      <c r="F153" s="633"/>
      <c r="G153" s="633"/>
      <c r="H153" s="633"/>
      <c r="I153" s="633"/>
      <c r="J153" s="633"/>
      <c r="K153" s="633"/>
      <c r="L153" s="633"/>
      <c r="M153" s="633"/>
      <c r="N153" s="633"/>
      <c r="O153" s="633"/>
      <c r="P153" s="633"/>
      <c r="Q153" s="633"/>
      <c r="R153" s="633"/>
      <c r="S153" s="633"/>
      <c r="T153" s="633"/>
      <c r="U153" s="633"/>
      <c r="V153" s="633"/>
      <c r="W153" s="633"/>
      <c r="X153" s="633"/>
      <c r="Y153" s="633"/>
      <c r="Z153" s="633"/>
    </row>
    <row r="154" spans="1:26" ht="12.75" customHeight="1" x14ac:dyDescent="0.3">
      <c r="A154" s="633"/>
      <c r="B154" s="633"/>
      <c r="C154" s="633"/>
      <c r="D154" s="633"/>
      <c r="E154" s="633"/>
      <c r="F154" s="633"/>
      <c r="G154" s="633"/>
      <c r="H154" s="633"/>
      <c r="I154" s="633"/>
      <c r="J154" s="633"/>
      <c r="K154" s="633"/>
      <c r="L154" s="633"/>
      <c r="M154" s="633"/>
      <c r="N154" s="633"/>
      <c r="O154" s="633"/>
      <c r="P154" s="633"/>
      <c r="Q154" s="633"/>
      <c r="R154" s="633"/>
      <c r="S154" s="633"/>
      <c r="T154" s="633"/>
      <c r="U154" s="633"/>
      <c r="V154" s="633"/>
      <c r="W154" s="633"/>
      <c r="X154" s="633"/>
      <c r="Y154" s="633"/>
      <c r="Z154" s="633"/>
    </row>
    <row r="155" spans="1:26" ht="12.75" customHeight="1" x14ac:dyDescent="0.3">
      <c r="A155" s="633"/>
      <c r="B155" s="633"/>
      <c r="C155" s="633"/>
      <c r="D155" s="633"/>
      <c r="E155" s="633"/>
      <c r="F155" s="633"/>
      <c r="G155" s="633"/>
      <c r="H155" s="633"/>
      <c r="I155" s="633"/>
      <c r="J155" s="633"/>
      <c r="K155" s="633"/>
      <c r="L155" s="633"/>
      <c r="M155" s="633"/>
      <c r="N155" s="633"/>
      <c r="O155" s="633"/>
      <c r="P155" s="633"/>
      <c r="Q155" s="633"/>
      <c r="R155" s="633"/>
      <c r="S155" s="633"/>
      <c r="T155" s="633"/>
      <c r="U155" s="633"/>
      <c r="V155" s="633"/>
      <c r="W155" s="633"/>
      <c r="X155" s="633"/>
      <c r="Y155" s="633"/>
      <c r="Z155" s="633"/>
    </row>
    <row r="156" spans="1:26" ht="12.75" customHeight="1" x14ac:dyDescent="0.3">
      <c r="A156" s="633"/>
      <c r="B156" s="633"/>
      <c r="C156" s="633"/>
      <c r="D156" s="633"/>
      <c r="E156" s="633"/>
      <c r="F156" s="633"/>
      <c r="G156" s="633"/>
      <c r="H156" s="633"/>
      <c r="I156" s="633"/>
      <c r="J156" s="633"/>
      <c r="K156" s="633"/>
      <c r="L156" s="633"/>
      <c r="M156" s="633"/>
      <c r="N156" s="633"/>
      <c r="O156" s="633"/>
      <c r="P156" s="633"/>
      <c r="Q156" s="633"/>
      <c r="R156" s="633"/>
      <c r="S156" s="633"/>
      <c r="T156" s="633"/>
      <c r="U156" s="633"/>
      <c r="V156" s="633"/>
      <c r="W156" s="633"/>
      <c r="X156" s="633"/>
      <c r="Y156" s="633"/>
      <c r="Z156" s="633"/>
    </row>
    <row r="157" spans="1:26" ht="12.75" customHeight="1" x14ac:dyDescent="0.3">
      <c r="A157" s="633"/>
      <c r="B157" s="633"/>
      <c r="C157" s="633"/>
      <c r="D157" s="633"/>
      <c r="E157" s="633"/>
      <c r="F157" s="633"/>
      <c r="G157" s="633"/>
      <c r="H157" s="633"/>
      <c r="I157" s="633"/>
      <c r="J157" s="633"/>
      <c r="K157" s="633"/>
      <c r="L157" s="633"/>
      <c r="M157" s="633"/>
      <c r="N157" s="633"/>
      <c r="O157" s="633"/>
      <c r="P157" s="633"/>
      <c r="Q157" s="633"/>
      <c r="R157" s="633"/>
      <c r="S157" s="633"/>
      <c r="T157" s="633"/>
      <c r="U157" s="633"/>
      <c r="V157" s="633"/>
      <c r="W157" s="633"/>
      <c r="X157" s="633"/>
      <c r="Y157" s="633"/>
      <c r="Z157" s="633"/>
    </row>
    <row r="158" spans="1:26" ht="12.75" customHeight="1" x14ac:dyDescent="0.3">
      <c r="A158" s="633"/>
      <c r="B158" s="633"/>
      <c r="C158" s="633"/>
      <c r="D158" s="633"/>
      <c r="E158" s="633"/>
      <c r="F158" s="633"/>
      <c r="G158" s="633"/>
      <c r="H158" s="633"/>
      <c r="I158" s="633"/>
      <c r="J158" s="633"/>
      <c r="K158" s="633"/>
      <c r="L158" s="633"/>
      <c r="M158" s="633"/>
      <c r="N158" s="633"/>
      <c r="O158" s="633"/>
      <c r="P158" s="633"/>
      <c r="Q158" s="633"/>
      <c r="R158" s="633"/>
      <c r="S158" s="633"/>
      <c r="T158" s="633"/>
      <c r="U158" s="633"/>
      <c r="V158" s="633"/>
      <c r="W158" s="633"/>
      <c r="X158" s="633"/>
      <c r="Y158" s="633"/>
      <c r="Z158" s="633"/>
    </row>
    <row r="159" spans="1:26" ht="12.75" customHeight="1" x14ac:dyDescent="0.3">
      <c r="A159" s="633"/>
      <c r="B159" s="633"/>
      <c r="C159" s="633"/>
      <c r="D159" s="633"/>
      <c r="E159" s="633"/>
      <c r="F159" s="633"/>
      <c r="G159" s="633"/>
      <c r="H159" s="633"/>
      <c r="I159" s="633"/>
      <c r="J159" s="633"/>
      <c r="K159" s="633"/>
      <c r="L159" s="633"/>
      <c r="M159" s="633"/>
      <c r="N159" s="633"/>
      <c r="O159" s="633"/>
      <c r="P159" s="633"/>
      <c r="Q159" s="633"/>
      <c r="R159" s="633"/>
      <c r="S159" s="633"/>
      <c r="T159" s="633"/>
      <c r="U159" s="633"/>
      <c r="V159" s="633"/>
      <c r="W159" s="633"/>
      <c r="X159" s="633"/>
      <c r="Y159" s="633"/>
      <c r="Z159" s="633"/>
    </row>
    <row r="160" spans="1:26" ht="12.75" customHeight="1" x14ac:dyDescent="0.3">
      <c r="A160" s="633"/>
      <c r="B160" s="633"/>
      <c r="C160" s="633"/>
      <c r="D160" s="633"/>
      <c r="E160" s="633"/>
      <c r="F160" s="633"/>
      <c r="G160" s="633"/>
      <c r="H160" s="633"/>
      <c r="I160" s="633"/>
      <c r="J160" s="633"/>
      <c r="K160" s="633"/>
      <c r="L160" s="633"/>
      <c r="M160" s="633"/>
      <c r="N160" s="633"/>
      <c r="O160" s="633"/>
      <c r="P160" s="633"/>
      <c r="Q160" s="633"/>
      <c r="R160" s="633"/>
      <c r="S160" s="633"/>
      <c r="T160" s="633"/>
      <c r="U160" s="633"/>
      <c r="V160" s="633"/>
      <c r="W160" s="633"/>
      <c r="X160" s="633"/>
      <c r="Y160" s="633"/>
      <c r="Z160" s="633"/>
    </row>
    <row r="161" spans="1:26" ht="12.75" customHeight="1" x14ac:dyDescent="0.3">
      <c r="A161" s="633"/>
      <c r="B161" s="633"/>
      <c r="C161" s="633"/>
      <c r="D161" s="633"/>
      <c r="E161" s="633"/>
      <c r="F161" s="633"/>
      <c r="G161" s="633"/>
      <c r="H161" s="633"/>
      <c r="I161" s="633"/>
      <c r="J161" s="633"/>
      <c r="K161" s="633"/>
      <c r="L161" s="633"/>
      <c r="M161" s="633"/>
      <c r="N161" s="633"/>
      <c r="O161" s="633"/>
      <c r="P161" s="633"/>
      <c r="Q161" s="633"/>
      <c r="R161" s="633"/>
      <c r="S161" s="633"/>
      <c r="T161" s="633"/>
      <c r="U161" s="633"/>
      <c r="V161" s="633"/>
      <c r="W161" s="633"/>
      <c r="X161" s="633"/>
      <c r="Y161" s="633"/>
      <c r="Z161" s="633"/>
    </row>
    <row r="162" spans="1:26" ht="12.75" customHeight="1" x14ac:dyDescent="0.3">
      <c r="A162" s="633"/>
      <c r="B162" s="633"/>
      <c r="C162" s="633"/>
      <c r="D162" s="633"/>
      <c r="E162" s="633"/>
      <c r="F162" s="633"/>
      <c r="G162" s="633"/>
      <c r="H162" s="633"/>
      <c r="I162" s="633"/>
      <c r="J162" s="633"/>
      <c r="K162" s="633"/>
      <c r="L162" s="633"/>
      <c r="M162" s="633"/>
      <c r="N162" s="633"/>
      <c r="O162" s="633"/>
      <c r="P162" s="633"/>
      <c r="Q162" s="633"/>
      <c r="R162" s="633"/>
      <c r="S162" s="633"/>
      <c r="T162" s="633"/>
      <c r="U162" s="633"/>
      <c r="V162" s="633"/>
      <c r="W162" s="633"/>
      <c r="X162" s="633"/>
      <c r="Y162" s="633"/>
      <c r="Z162" s="633"/>
    </row>
    <row r="163" spans="1:26" ht="12.75" customHeight="1" x14ac:dyDescent="0.3">
      <c r="A163" s="633"/>
      <c r="B163" s="633"/>
      <c r="C163" s="633"/>
      <c r="D163" s="633"/>
      <c r="E163" s="633"/>
      <c r="F163" s="633"/>
      <c r="G163" s="633"/>
      <c r="H163" s="633"/>
      <c r="I163" s="633"/>
      <c r="J163" s="633"/>
      <c r="K163" s="633"/>
      <c r="L163" s="633"/>
      <c r="M163" s="633"/>
      <c r="N163" s="633"/>
      <c r="O163" s="633"/>
      <c r="P163" s="633"/>
      <c r="Q163" s="633"/>
      <c r="R163" s="633"/>
      <c r="S163" s="633"/>
      <c r="T163" s="633"/>
      <c r="U163" s="633"/>
      <c r="V163" s="633"/>
      <c r="W163" s="633"/>
      <c r="X163" s="633"/>
      <c r="Y163" s="633"/>
      <c r="Z163" s="633"/>
    </row>
    <row r="164" spans="1:26" ht="12.75" customHeight="1" x14ac:dyDescent="0.3">
      <c r="A164" s="633"/>
      <c r="B164" s="633"/>
      <c r="C164" s="633"/>
      <c r="D164" s="633"/>
      <c r="E164" s="633"/>
      <c r="F164" s="633"/>
      <c r="G164" s="633"/>
      <c r="H164" s="633"/>
      <c r="I164" s="633"/>
      <c r="J164" s="633"/>
      <c r="K164" s="633"/>
      <c r="L164" s="633"/>
      <c r="M164" s="633"/>
      <c r="N164" s="633"/>
      <c r="O164" s="633"/>
      <c r="P164" s="633"/>
      <c r="Q164" s="633"/>
      <c r="R164" s="633"/>
      <c r="S164" s="633"/>
      <c r="T164" s="633"/>
      <c r="U164" s="633"/>
      <c r="V164" s="633"/>
      <c r="W164" s="633"/>
      <c r="X164" s="633"/>
      <c r="Y164" s="633"/>
      <c r="Z164" s="633"/>
    </row>
    <row r="165" spans="1:26" ht="12.75" customHeight="1" x14ac:dyDescent="0.3">
      <c r="A165" s="633"/>
      <c r="B165" s="633"/>
      <c r="C165" s="633"/>
      <c r="D165" s="633"/>
      <c r="E165" s="633"/>
      <c r="F165" s="633"/>
      <c r="G165" s="633"/>
      <c r="H165" s="633"/>
      <c r="I165" s="633"/>
      <c r="J165" s="633"/>
      <c r="K165" s="633"/>
      <c r="L165" s="633"/>
      <c r="M165" s="633"/>
      <c r="N165" s="633"/>
      <c r="O165" s="633"/>
      <c r="P165" s="633"/>
      <c r="Q165" s="633"/>
      <c r="R165" s="633"/>
      <c r="S165" s="633"/>
      <c r="T165" s="633"/>
      <c r="U165" s="633"/>
      <c r="V165" s="633"/>
      <c r="W165" s="633"/>
      <c r="X165" s="633"/>
      <c r="Y165" s="633"/>
      <c r="Z165" s="633"/>
    </row>
    <row r="166" spans="1:26" ht="12.75" customHeight="1" x14ac:dyDescent="0.3">
      <c r="A166" s="633"/>
      <c r="B166" s="633"/>
      <c r="C166" s="633"/>
      <c r="D166" s="633"/>
      <c r="E166" s="633"/>
      <c r="F166" s="633"/>
      <c r="G166" s="633"/>
      <c r="H166" s="633"/>
      <c r="I166" s="633"/>
      <c r="J166" s="633"/>
      <c r="K166" s="633"/>
      <c r="L166" s="633"/>
      <c r="M166" s="633"/>
      <c r="N166" s="633"/>
      <c r="O166" s="633"/>
      <c r="P166" s="633"/>
      <c r="Q166" s="633"/>
      <c r="R166" s="633"/>
      <c r="S166" s="633"/>
      <c r="T166" s="633"/>
      <c r="U166" s="633"/>
      <c r="V166" s="633"/>
      <c r="W166" s="633"/>
      <c r="X166" s="633"/>
      <c r="Y166" s="633"/>
      <c r="Z166" s="633"/>
    </row>
    <row r="167" spans="1:26" ht="12.75" customHeight="1" x14ac:dyDescent="0.3">
      <c r="A167" s="633"/>
      <c r="B167" s="633"/>
      <c r="C167" s="633"/>
      <c r="D167" s="633"/>
      <c r="E167" s="633"/>
      <c r="F167" s="633"/>
      <c r="G167" s="633"/>
      <c r="H167" s="633"/>
      <c r="I167" s="633"/>
      <c r="J167" s="633"/>
      <c r="K167" s="633"/>
      <c r="L167" s="633"/>
      <c r="M167" s="633"/>
      <c r="N167" s="633"/>
      <c r="O167" s="633"/>
      <c r="P167" s="633"/>
      <c r="Q167" s="633"/>
      <c r="R167" s="633"/>
      <c r="S167" s="633"/>
      <c r="T167" s="633"/>
      <c r="U167" s="633"/>
      <c r="V167" s="633"/>
      <c r="W167" s="633"/>
      <c r="X167" s="633"/>
      <c r="Y167" s="633"/>
      <c r="Z167" s="633"/>
    </row>
    <row r="168" spans="1:26" ht="12.75" customHeight="1" x14ac:dyDescent="0.3">
      <c r="A168" s="633"/>
      <c r="B168" s="633"/>
      <c r="C168" s="633"/>
      <c r="D168" s="633"/>
      <c r="E168" s="633"/>
      <c r="F168" s="633"/>
      <c r="G168" s="633"/>
      <c r="H168" s="633"/>
      <c r="I168" s="633"/>
      <c r="J168" s="633"/>
      <c r="K168" s="633"/>
      <c r="L168" s="633"/>
      <c r="M168" s="633"/>
      <c r="N168" s="633"/>
      <c r="O168" s="633"/>
      <c r="P168" s="633"/>
      <c r="Q168" s="633"/>
      <c r="R168" s="633"/>
      <c r="S168" s="633"/>
      <c r="T168" s="633"/>
      <c r="U168" s="633"/>
      <c r="V168" s="633"/>
      <c r="W168" s="633"/>
      <c r="X168" s="633"/>
      <c r="Y168" s="633"/>
      <c r="Z168" s="633"/>
    </row>
    <row r="169" spans="1:26" ht="12.75" customHeight="1" x14ac:dyDescent="0.3">
      <c r="A169" s="633"/>
      <c r="B169" s="633"/>
      <c r="C169" s="633"/>
      <c r="D169" s="633"/>
      <c r="E169" s="633"/>
      <c r="F169" s="633"/>
      <c r="G169" s="633"/>
      <c r="H169" s="633"/>
      <c r="I169" s="633"/>
      <c r="J169" s="633"/>
      <c r="K169" s="633"/>
      <c r="L169" s="633"/>
      <c r="M169" s="633"/>
      <c r="N169" s="633"/>
      <c r="O169" s="633"/>
      <c r="P169" s="633"/>
      <c r="Q169" s="633"/>
      <c r="R169" s="633"/>
      <c r="S169" s="633"/>
      <c r="T169" s="633"/>
      <c r="U169" s="633"/>
      <c r="V169" s="633"/>
      <c r="W169" s="633"/>
      <c r="X169" s="633"/>
      <c r="Y169" s="633"/>
      <c r="Z169" s="633"/>
    </row>
    <row r="170" spans="1:26" ht="12.75" customHeight="1" x14ac:dyDescent="0.3">
      <c r="A170" s="633"/>
      <c r="B170" s="633"/>
      <c r="C170" s="633"/>
      <c r="D170" s="633"/>
      <c r="E170" s="633"/>
      <c r="F170" s="633"/>
      <c r="G170" s="633"/>
      <c r="H170" s="633"/>
      <c r="I170" s="633"/>
      <c r="J170" s="633"/>
      <c r="K170" s="633"/>
      <c r="L170" s="633"/>
      <c r="M170" s="633"/>
      <c r="N170" s="633"/>
      <c r="O170" s="633"/>
      <c r="P170" s="633"/>
      <c r="Q170" s="633"/>
      <c r="R170" s="633"/>
      <c r="S170" s="633"/>
      <c r="T170" s="633"/>
      <c r="U170" s="633"/>
      <c r="V170" s="633"/>
      <c r="W170" s="633"/>
      <c r="X170" s="633"/>
      <c r="Y170" s="633"/>
      <c r="Z170" s="633"/>
    </row>
    <row r="171" spans="1:26" ht="12.75" customHeight="1" x14ac:dyDescent="0.3">
      <c r="A171" s="633"/>
      <c r="B171" s="633"/>
      <c r="C171" s="633"/>
      <c r="D171" s="633"/>
      <c r="E171" s="633"/>
      <c r="F171" s="633"/>
      <c r="G171" s="633"/>
      <c r="H171" s="633"/>
      <c r="I171" s="633"/>
      <c r="J171" s="633"/>
      <c r="K171" s="633"/>
      <c r="L171" s="633"/>
      <c r="M171" s="633"/>
      <c r="N171" s="633"/>
      <c r="O171" s="633"/>
      <c r="P171" s="633"/>
      <c r="Q171" s="633"/>
      <c r="R171" s="633"/>
      <c r="S171" s="633"/>
      <c r="T171" s="633"/>
      <c r="U171" s="633"/>
      <c r="V171" s="633"/>
      <c r="W171" s="633"/>
      <c r="X171" s="633"/>
      <c r="Y171" s="633"/>
      <c r="Z171" s="633"/>
    </row>
    <row r="172" spans="1:26" ht="12.75" customHeight="1" x14ac:dyDescent="0.3">
      <c r="A172" s="633"/>
      <c r="B172" s="633"/>
      <c r="C172" s="633"/>
      <c r="D172" s="633"/>
      <c r="E172" s="633"/>
      <c r="F172" s="633"/>
      <c r="G172" s="633"/>
      <c r="H172" s="633"/>
      <c r="I172" s="633"/>
      <c r="J172" s="633"/>
      <c r="K172" s="633"/>
      <c r="L172" s="633"/>
      <c r="M172" s="633"/>
      <c r="N172" s="633"/>
      <c r="O172" s="633"/>
      <c r="P172" s="633"/>
      <c r="Q172" s="633"/>
      <c r="R172" s="633"/>
      <c r="S172" s="633"/>
      <c r="T172" s="633"/>
      <c r="U172" s="633"/>
      <c r="V172" s="633"/>
      <c r="W172" s="633"/>
      <c r="X172" s="633"/>
      <c r="Y172" s="633"/>
      <c r="Z172" s="633"/>
    </row>
    <row r="173" spans="1:26" ht="12.75" customHeight="1" x14ac:dyDescent="0.3">
      <c r="A173" s="633"/>
      <c r="B173" s="633"/>
      <c r="C173" s="633"/>
      <c r="D173" s="633"/>
      <c r="E173" s="633"/>
      <c r="F173" s="633"/>
      <c r="G173" s="633"/>
      <c r="H173" s="633"/>
      <c r="I173" s="633"/>
      <c r="J173" s="633"/>
      <c r="K173" s="633"/>
      <c r="L173" s="633"/>
      <c r="M173" s="633"/>
      <c r="N173" s="633"/>
      <c r="O173" s="633"/>
      <c r="P173" s="633"/>
      <c r="Q173" s="633"/>
      <c r="R173" s="633"/>
      <c r="S173" s="633"/>
      <c r="T173" s="633"/>
      <c r="U173" s="633"/>
      <c r="V173" s="633"/>
      <c r="W173" s="633"/>
      <c r="X173" s="633"/>
      <c r="Y173" s="633"/>
      <c r="Z173" s="633"/>
    </row>
    <row r="174" spans="1:26" ht="12.75" customHeight="1" x14ac:dyDescent="0.3">
      <c r="A174" s="633"/>
      <c r="B174" s="633"/>
      <c r="C174" s="633"/>
      <c r="D174" s="633"/>
      <c r="E174" s="633"/>
      <c r="F174" s="633"/>
      <c r="G174" s="633"/>
      <c r="H174" s="633"/>
      <c r="I174" s="633"/>
      <c r="J174" s="633"/>
      <c r="K174" s="633"/>
      <c r="L174" s="633"/>
      <c r="M174" s="633"/>
      <c r="N174" s="633"/>
      <c r="O174" s="633"/>
      <c r="P174" s="633"/>
      <c r="Q174" s="633"/>
      <c r="R174" s="633"/>
      <c r="S174" s="633"/>
      <c r="T174" s="633"/>
      <c r="U174" s="633"/>
      <c r="V174" s="633"/>
      <c r="W174" s="633"/>
      <c r="X174" s="633"/>
      <c r="Y174" s="633"/>
      <c r="Z174" s="633"/>
    </row>
    <row r="175" spans="1:26" ht="12.75" customHeight="1" x14ac:dyDescent="0.3">
      <c r="A175" s="633"/>
      <c r="B175" s="633"/>
      <c r="C175" s="633"/>
      <c r="D175" s="633"/>
      <c r="E175" s="633"/>
      <c r="F175" s="633"/>
      <c r="G175" s="633"/>
      <c r="H175" s="633"/>
      <c r="I175" s="633"/>
      <c r="J175" s="633"/>
      <c r="K175" s="633"/>
      <c r="L175" s="633"/>
      <c r="M175" s="633"/>
      <c r="N175" s="633"/>
      <c r="O175" s="633"/>
      <c r="P175" s="633"/>
      <c r="Q175" s="633"/>
      <c r="R175" s="633"/>
      <c r="S175" s="633"/>
      <c r="T175" s="633"/>
      <c r="U175" s="633"/>
      <c r="V175" s="633"/>
      <c r="W175" s="633"/>
      <c r="X175" s="633"/>
      <c r="Y175" s="633"/>
      <c r="Z175" s="633"/>
    </row>
    <row r="176" spans="1:26" ht="12.75" customHeight="1" x14ac:dyDescent="0.3">
      <c r="A176" s="633"/>
      <c r="B176" s="633"/>
      <c r="C176" s="633"/>
      <c r="D176" s="633"/>
      <c r="E176" s="633"/>
      <c r="F176" s="633"/>
      <c r="G176" s="633"/>
      <c r="H176" s="633"/>
      <c r="I176" s="633"/>
      <c r="J176" s="633"/>
      <c r="K176" s="633"/>
      <c r="L176" s="633"/>
      <c r="M176" s="633"/>
      <c r="N176" s="633"/>
      <c r="O176" s="633"/>
      <c r="P176" s="633"/>
      <c r="Q176" s="633"/>
      <c r="R176" s="633"/>
      <c r="S176" s="633"/>
      <c r="T176" s="633"/>
      <c r="U176" s="633"/>
      <c r="V176" s="633"/>
      <c r="W176" s="633"/>
      <c r="X176" s="633"/>
      <c r="Y176" s="633"/>
      <c r="Z176" s="633"/>
    </row>
    <row r="177" spans="1:26" ht="12.75" customHeight="1" x14ac:dyDescent="0.3">
      <c r="A177" s="633"/>
      <c r="B177" s="633"/>
      <c r="C177" s="633"/>
      <c r="D177" s="633"/>
      <c r="E177" s="633"/>
      <c r="F177" s="633"/>
      <c r="G177" s="633"/>
      <c r="H177" s="633"/>
      <c r="I177" s="633"/>
      <c r="J177" s="633"/>
      <c r="K177" s="633"/>
      <c r="L177" s="633"/>
      <c r="M177" s="633"/>
      <c r="N177" s="633"/>
      <c r="O177" s="633"/>
      <c r="P177" s="633"/>
      <c r="Q177" s="633"/>
      <c r="R177" s="633"/>
      <c r="S177" s="633"/>
      <c r="T177" s="633"/>
      <c r="U177" s="633"/>
      <c r="V177" s="633"/>
      <c r="W177" s="633"/>
      <c r="X177" s="633"/>
      <c r="Y177" s="633"/>
      <c r="Z177" s="633"/>
    </row>
    <row r="178" spans="1:26" ht="12.75" customHeight="1" x14ac:dyDescent="0.3">
      <c r="A178" s="633"/>
      <c r="B178" s="633"/>
      <c r="C178" s="633"/>
      <c r="D178" s="633"/>
      <c r="E178" s="633"/>
      <c r="F178" s="633"/>
      <c r="G178" s="633"/>
      <c r="H178" s="633"/>
      <c r="I178" s="633"/>
      <c r="J178" s="633"/>
      <c r="K178" s="633"/>
      <c r="L178" s="633"/>
      <c r="M178" s="633"/>
      <c r="N178" s="633"/>
      <c r="O178" s="633"/>
      <c r="P178" s="633"/>
      <c r="Q178" s="633"/>
      <c r="R178" s="633"/>
      <c r="S178" s="633"/>
      <c r="T178" s="633"/>
      <c r="U178" s="633"/>
      <c r="V178" s="633"/>
      <c r="W178" s="633"/>
      <c r="X178" s="633"/>
      <c r="Y178" s="633"/>
      <c r="Z178" s="633"/>
    </row>
    <row r="179" spans="1:26" ht="12.75" customHeight="1" x14ac:dyDescent="0.3">
      <c r="A179" s="633"/>
      <c r="B179" s="633"/>
      <c r="C179" s="633"/>
      <c r="D179" s="633"/>
      <c r="E179" s="633"/>
      <c r="F179" s="633"/>
      <c r="G179" s="633"/>
      <c r="H179" s="633"/>
      <c r="I179" s="633"/>
      <c r="J179" s="633"/>
      <c r="K179" s="633"/>
      <c r="L179" s="633"/>
      <c r="M179" s="633"/>
      <c r="N179" s="633"/>
      <c r="O179" s="633"/>
      <c r="P179" s="633"/>
      <c r="Q179" s="633"/>
      <c r="R179" s="633"/>
      <c r="S179" s="633"/>
      <c r="T179" s="633"/>
      <c r="U179" s="633"/>
      <c r="V179" s="633"/>
      <c r="W179" s="633"/>
      <c r="X179" s="633"/>
      <c r="Y179" s="633"/>
      <c r="Z179" s="633"/>
    </row>
    <row r="180" spans="1:26" ht="12.75" customHeight="1" x14ac:dyDescent="0.3">
      <c r="A180" s="633"/>
      <c r="B180" s="633"/>
      <c r="C180" s="633"/>
      <c r="D180" s="633"/>
      <c r="E180" s="633"/>
      <c r="F180" s="633"/>
      <c r="G180" s="633"/>
      <c r="H180" s="633"/>
      <c r="I180" s="633"/>
      <c r="J180" s="633"/>
      <c r="K180" s="633"/>
      <c r="L180" s="633"/>
      <c r="M180" s="633"/>
      <c r="N180" s="633"/>
      <c r="O180" s="633"/>
      <c r="P180" s="633"/>
      <c r="Q180" s="633"/>
      <c r="R180" s="633"/>
      <c r="S180" s="633"/>
      <c r="T180" s="633"/>
      <c r="U180" s="633"/>
      <c r="V180" s="633"/>
      <c r="W180" s="633"/>
      <c r="X180" s="633"/>
      <c r="Y180" s="633"/>
      <c r="Z180" s="633"/>
    </row>
    <row r="181" spans="1:26" ht="12.75" customHeight="1" x14ac:dyDescent="0.3">
      <c r="A181" s="633"/>
      <c r="B181" s="633"/>
      <c r="C181" s="633"/>
      <c r="D181" s="633"/>
      <c r="E181" s="633"/>
      <c r="F181" s="633"/>
      <c r="G181" s="633"/>
      <c r="H181" s="633"/>
      <c r="I181" s="633"/>
      <c r="J181" s="633"/>
      <c r="K181" s="633"/>
      <c r="L181" s="633"/>
      <c r="M181" s="633"/>
      <c r="N181" s="633"/>
      <c r="O181" s="633"/>
      <c r="P181" s="633"/>
      <c r="Q181" s="633"/>
      <c r="R181" s="633"/>
      <c r="S181" s="633"/>
      <c r="T181" s="633"/>
      <c r="U181" s="633"/>
      <c r="V181" s="633"/>
      <c r="W181" s="633"/>
      <c r="X181" s="633"/>
      <c r="Y181" s="633"/>
      <c r="Z181" s="633"/>
    </row>
    <row r="182" spans="1:26" ht="12.75" customHeight="1" x14ac:dyDescent="0.3">
      <c r="A182" s="633"/>
      <c r="B182" s="633"/>
      <c r="C182" s="633"/>
      <c r="D182" s="633"/>
      <c r="E182" s="633"/>
      <c r="F182" s="633"/>
      <c r="G182" s="633"/>
      <c r="H182" s="633"/>
      <c r="I182" s="633"/>
      <c r="J182" s="633"/>
      <c r="K182" s="633"/>
      <c r="L182" s="633"/>
      <c r="M182" s="633"/>
      <c r="N182" s="633"/>
      <c r="O182" s="633"/>
      <c r="P182" s="633"/>
      <c r="Q182" s="633"/>
      <c r="R182" s="633"/>
      <c r="S182" s="633"/>
      <c r="T182" s="633"/>
      <c r="U182" s="633"/>
      <c r="V182" s="633"/>
      <c r="W182" s="633"/>
      <c r="X182" s="633"/>
      <c r="Y182" s="633"/>
      <c r="Z182" s="633"/>
    </row>
    <row r="183" spans="1:26" ht="12.75" customHeight="1" x14ac:dyDescent="0.3">
      <c r="A183" s="633"/>
      <c r="B183" s="633"/>
      <c r="C183" s="633"/>
      <c r="D183" s="633"/>
      <c r="E183" s="633"/>
      <c r="F183" s="633"/>
      <c r="G183" s="633"/>
      <c r="H183" s="633"/>
      <c r="I183" s="633"/>
      <c r="J183" s="633"/>
      <c r="K183" s="633"/>
      <c r="L183" s="633"/>
      <c r="M183" s="633"/>
      <c r="N183" s="633"/>
      <c r="O183" s="633"/>
      <c r="P183" s="633"/>
      <c r="Q183" s="633"/>
      <c r="R183" s="633"/>
      <c r="S183" s="633"/>
      <c r="T183" s="633"/>
      <c r="U183" s="633"/>
      <c r="V183" s="633"/>
      <c r="W183" s="633"/>
      <c r="X183" s="633"/>
      <c r="Y183" s="633"/>
      <c r="Z183" s="633"/>
    </row>
    <row r="184" spans="1:26" ht="12.75" customHeight="1" x14ac:dyDescent="0.3">
      <c r="A184" s="633"/>
      <c r="B184" s="633"/>
      <c r="C184" s="633"/>
      <c r="D184" s="633"/>
      <c r="E184" s="633"/>
      <c r="F184" s="633"/>
      <c r="G184" s="633"/>
      <c r="H184" s="633"/>
      <c r="I184" s="633"/>
      <c r="J184" s="633"/>
      <c r="K184" s="633"/>
      <c r="L184" s="633"/>
      <c r="M184" s="633"/>
      <c r="N184" s="633"/>
      <c r="O184" s="633"/>
      <c r="P184" s="633"/>
      <c r="Q184" s="633"/>
      <c r="R184" s="633"/>
      <c r="S184" s="633"/>
      <c r="T184" s="633"/>
      <c r="U184" s="633"/>
      <c r="V184" s="633"/>
      <c r="W184" s="633"/>
      <c r="X184" s="633"/>
      <c r="Y184" s="633"/>
      <c r="Z184" s="633"/>
    </row>
    <row r="185" spans="1:26" ht="12.75" customHeight="1" x14ac:dyDescent="0.3">
      <c r="A185" s="633"/>
      <c r="B185" s="633"/>
      <c r="C185" s="633"/>
      <c r="D185" s="633"/>
      <c r="E185" s="633"/>
      <c r="F185" s="633"/>
      <c r="G185" s="633"/>
      <c r="H185" s="633"/>
      <c r="I185" s="633"/>
      <c r="J185" s="633"/>
      <c r="K185" s="633"/>
      <c r="L185" s="633"/>
      <c r="M185" s="633"/>
      <c r="N185" s="633"/>
      <c r="O185" s="633"/>
      <c r="P185" s="633"/>
      <c r="Q185" s="633"/>
      <c r="R185" s="633"/>
      <c r="S185" s="633"/>
      <c r="T185" s="633"/>
      <c r="U185" s="633"/>
      <c r="V185" s="633"/>
      <c r="W185" s="633"/>
      <c r="X185" s="633"/>
      <c r="Y185" s="633"/>
      <c r="Z185" s="633"/>
    </row>
    <row r="186" spans="1:26" ht="12.75" customHeight="1" x14ac:dyDescent="0.3">
      <c r="A186" s="633"/>
      <c r="B186" s="633"/>
      <c r="C186" s="633"/>
      <c r="D186" s="633"/>
      <c r="E186" s="633"/>
      <c r="F186" s="633"/>
      <c r="G186" s="633"/>
      <c r="H186" s="633"/>
      <c r="I186" s="633"/>
      <c r="J186" s="633"/>
      <c r="K186" s="633"/>
      <c r="L186" s="633"/>
      <c r="M186" s="633"/>
      <c r="N186" s="633"/>
      <c r="O186" s="633"/>
      <c r="P186" s="633"/>
      <c r="Q186" s="633"/>
      <c r="R186" s="633"/>
      <c r="S186" s="633"/>
      <c r="T186" s="633"/>
      <c r="U186" s="633"/>
      <c r="V186" s="633"/>
      <c r="W186" s="633"/>
      <c r="X186" s="633"/>
      <c r="Y186" s="633"/>
      <c r="Z186" s="633"/>
    </row>
    <row r="187" spans="1:26" ht="12.75" customHeight="1" x14ac:dyDescent="0.3">
      <c r="A187" s="633"/>
      <c r="B187" s="633"/>
      <c r="C187" s="633"/>
      <c r="D187" s="633"/>
      <c r="E187" s="633"/>
      <c r="F187" s="633"/>
      <c r="G187" s="633"/>
      <c r="H187" s="633"/>
      <c r="I187" s="633"/>
      <c r="J187" s="633"/>
      <c r="K187" s="633"/>
      <c r="L187" s="633"/>
      <c r="M187" s="633"/>
      <c r="N187" s="633"/>
      <c r="O187" s="633"/>
      <c r="P187" s="633"/>
      <c r="Q187" s="633"/>
      <c r="R187" s="633"/>
      <c r="S187" s="633"/>
      <c r="T187" s="633"/>
      <c r="U187" s="633"/>
      <c r="V187" s="633"/>
      <c r="W187" s="633"/>
      <c r="X187" s="633"/>
      <c r="Y187" s="633"/>
      <c r="Z187" s="633"/>
    </row>
    <row r="188" spans="1:26" ht="12.75" customHeight="1" x14ac:dyDescent="0.3">
      <c r="A188" s="633"/>
      <c r="B188" s="633"/>
      <c r="C188" s="633"/>
      <c r="D188" s="633"/>
      <c r="E188" s="633"/>
      <c r="F188" s="633"/>
      <c r="G188" s="633"/>
      <c r="H188" s="633"/>
      <c r="I188" s="633"/>
      <c r="J188" s="633"/>
      <c r="K188" s="633"/>
      <c r="L188" s="633"/>
      <c r="M188" s="633"/>
      <c r="N188" s="633"/>
      <c r="O188" s="633"/>
      <c r="P188" s="633"/>
      <c r="Q188" s="633"/>
      <c r="R188" s="633"/>
      <c r="S188" s="633"/>
      <c r="T188" s="633"/>
      <c r="U188" s="633"/>
      <c r="V188" s="633"/>
      <c r="W188" s="633"/>
      <c r="X188" s="633"/>
      <c r="Y188" s="633"/>
      <c r="Z188" s="633"/>
    </row>
    <row r="189" spans="1:26" ht="12.75" customHeight="1" x14ac:dyDescent="0.3">
      <c r="A189" s="633"/>
      <c r="B189" s="633"/>
      <c r="C189" s="633"/>
      <c r="D189" s="633"/>
      <c r="E189" s="633"/>
      <c r="F189" s="633"/>
      <c r="G189" s="633"/>
      <c r="H189" s="633"/>
      <c r="I189" s="633"/>
      <c r="J189" s="633"/>
      <c r="K189" s="633"/>
      <c r="L189" s="633"/>
      <c r="M189" s="633"/>
      <c r="N189" s="633"/>
      <c r="O189" s="633"/>
      <c r="P189" s="633"/>
      <c r="Q189" s="633"/>
      <c r="R189" s="633"/>
      <c r="S189" s="633"/>
      <c r="T189" s="633"/>
      <c r="U189" s="633"/>
      <c r="V189" s="633"/>
      <c r="W189" s="633"/>
      <c r="X189" s="633"/>
      <c r="Y189" s="633"/>
      <c r="Z189" s="633"/>
    </row>
    <row r="190" spans="1:26" ht="12.75" customHeight="1" x14ac:dyDescent="0.3">
      <c r="A190" s="633"/>
      <c r="B190" s="633"/>
      <c r="C190" s="633"/>
      <c r="D190" s="633"/>
      <c r="E190" s="633"/>
      <c r="F190" s="633"/>
      <c r="G190" s="633"/>
      <c r="H190" s="633"/>
      <c r="I190" s="633"/>
      <c r="J190" s="633"/>
      <c r="K190" s="633"/>
      <c r="L190" s="633"/>
      <c r="M190" s="633"/>
      <c r="N190" s="633"/>
      <c r="O190" s="633"/>
      <c r="P190" s="633"/>
      <c r="Q190" s="633"/>
      <c r="R190" s="633"/>
      <c r="S190" s="633"/>
      <c r="T190" s="633"/>
      <c r="U190" s="633"/>
      <c r="V190" s="633"/>
      <c r="W190" s="633"/>
      <c r="X190" s="633"/>
      <c r="Y190" s="633"/>
      <c r="Z190" s="633"/>
    </row>
    <row r="191" spans="1:26" ht="12.75" customHeight="1" x14ac:dyDescent="0.3">
      <c r="A191" s="633"/>
      <c r="B191" s="633"/>
      <c r="C191" s="633"/>
      <c r="D191" s="633"/>
      <c r="E191" s="633"/>
      <c r="F191" s="633"/>
      <c r="G191" s="633"/>
      <c r="H191" s="633"/>
      <c r="I191" s="633"/>
      <c r="J191" s="633"/>
      <c r="K191" s="633"/>
      <c r="L191" s="633"/>
      <c r="M191" s="633"/>
      <c r="N191" s="633"/>
      <c r="O191" s="633"/>
      <c r="P191" s="633"/>
      <c r="Q191" s="633"/>
      <c r="R191" s="633"/>
      <c r="S191" s="633"/>
      <c r="T191" s="633"/>
      <c r="U191" s="633"/>
      <c r="V191" s="633"/>
      <c r="W191" s="633"/>
      <c r="X191" s="633"/>
      <c r="Y191" s="633"/>
      <c r="Z191" s="633"/>
    </row>
    <row r="192" spans="1:26" ht="12.75" customHeight="1" x14ac:dyDescent="0.3">
      <c r="A192" s="633"/>
      <c r="B192" s="633"/>
      <c r="C192" s="633"/>
      <c r="D192" s="633"/>
      <c r="E192" s="633"/>
      <c r="F192" s="633"/>
      <c r="G192" s="633"/>
      <c r="H192" s="633"/>
      <c r="I192" s="633"/>
      <c r="J192" s="633"/>
      <c r="K192" s="633"/>
      <c r="L192" s="633"/>
      <c r="M192" s="633"/>
      <c r="N192" s="633"/>
      <c r="O192" s="633"/>
      <c r="P192" s="633"/>
      <c r="Q192" s="633"/>
      <c r="R192" s="633"/>
      <c r="S192" s="633"/>
      <c r="T192" s="633"/>
      <c r="U192" s="633"/>
      <c r="V192" s="633"/>
      <c r="W192" s="633"/>
      <c r="X192" s="633"/>
      <c r="Y192" s="633"/>
      <c r="Z192" s="633"/>
    </row>
    <row r="193" spans="1:26" ht="12.75" customHeight="1" x14ac:dyDescent="0.3">
      <c r="A193" s="633"/>
      <c r="B193" s="633"/>
      <c r="C193" s="633"/>
      <c r="D193" s="633"/>
      <c r="E193" s="633"/>
      <c r="F193" s="633"/>
      <c r="G193" s="633"/>
      <c r="H193" s="633"/>
      <c r="I193" s="633"/>
      <c r="J193" s="633"/>
      <c r="K193" s="633"/>
      <c r="L193" s="633"/>
      <c r="M193" s="633"/>
      <c r="N193" s="633"/>
      <c r="O193" s="633"/>
      <c r="P193" s="633"/>
      <c r="Q193" s="633"/>
      <c r="R193" s="633"/>
      <c r="S193" s="633"/>
      <c r="T193" s="633"/>
      <c r="U193" s="633"/>
      <c r="V193" s="633"/>
      <c r="W193" s="633"/>
      <c r="X193" s="633"/>
      <c r="Y193" s="633"/>
      <c r="Z193" s="633"/>
    </row>
    <row r="194" spans="1:26" ht="12.75" customHeight="1" x14ac:dyDescent="0.3">
      <c r="A194" s="633"/>
      <c r="B194" s="633"/>
      <c r="C194" s="633"/>
      <c r="D194" s="633"/>
      <c r="E194" s="633"/>
      <c r="F194" s="633"/>
      <c r="G194" s="633"/>
      <c r="H194" s="633"/>
      <c r="I194" s="633"/>
      <c r="J194" s="633"/>
      <c r="K194" s="633"/>
      <c r="L194" s="633"/>
      <c r="M194" s="633"/>
      <c r="N194" s="633"/>
      <c r="O194" s="633"/>
      <c r="P194" s="633"/>
      <c r="Q194" s="633"/>
      <c r="R194" s="633"/>
      <c r="S194" s="633"/>
      <c r="T194" s="633"/>
      <c r="U194" s="633"/>
      <c r="V194" s="633"/>
      <c r="W194" s="633"/>
      <c r="X194" s="633"/>
      <c r="Y194" s="633"/>
      <c r="Z194" s="633"/>
    </row>
    <row r="195" spans="1:26" ht="12.75" customHeight="1" x14ac:dyDescent="0.3">
      <c r="A195" s="633"/>
      <c r="B195" s="633"/>
      <c r="C195" s="633"/>
      <c r="D195" s="633"/>
      <c r="E195" s="633"/>
      <c r="F195" s="633"/>
      <c r="G195" s="633"/>
      <c r="H195" s="633"/>
      <c r="I195" s="633"/>
      <c r="J195" s="633"/>
      <c r="K195" s="633"/>
      <c r="L195" s="633"/>
      <c r="M195" s="633"/>
      <c r="N195" s="633"/>
      <c r="O195" s="633"/>
      <c r="P195" s="633"/>
      <c r="Q195" s="633"/>
      <c r="R195" s="633"/>
      <c r="S195" s="633"/>
      <c r="T195" s="633"/>
      <c r="U195" s="633"/>
      <c r="V195" s="633"/>
      <c r="W195" s="633"/>
      <c r="X195" s="633"/>
      <c r="Y195" s="633"/>
      <c r="Z195" s="633"/>
    </row>
    <row r="196" spans="1:26" ht="12.75" customHeight="1" x14ac:dyDescent="0.3">
      <c r="A196" s="633"/>
      <c r="B196" s="633"/>
      <c r="C196" s="633"/>
      <c r="D196" s="633"/>
      <c r="E196" s="633"/>
      <c r="F196" s="633"/>
      <c r="G196" s="633"/>
      <c r="H196" s="633"/>
      <c r="I196" s="633"/>
      <c r="J196" s="633"/>
      <c r="K196" s="633"/>
      <c r="L196" s="633"/>
      <c r="M196" s="633"/>
      <c r="N196" s="633"/>
      <c r="O196" s="633"/>
      <c r="P196" s="633"/>
      <c r="Q196" s="633"/>
      <c r="R196" s="633"/>
      <c r="S196" s="633"/>
      <c r="T196" s="633"/>
      <c r="U196" s="633"/>
      <c r="V196" s="633"/>
      <c r="W196" s="633"/>
      <c r="X196" s="633"/>
      <c r="Y196" s="633"/>
      <c r="Z196" s="633"/>
    </row>
    <row r="197" spans="1:26" ht="12.75" customHeight="1" x14ac:dyDescent="0.3">
      <c r="A197" s="633"/>
      <c r="B197" s="633"/>
      <c r="C197" s="633"/>
      <c r="D197" s="633"/>
      <c r="E197" s="633"/>
      <c r="F197" s="633"/>
      <c r="G197" s="633"/>
      <c r="H197" s="633"/>
      <c r="I197" s="633"/>
      <c r="J197" s="633"/>
      <c r="K197" s="633"/>
      <c r="L197" s="633"/>
      <c r="M197" s="633"/>
      <c r="N197" s="633"/>
      <c r="O197" s="633"/>
      <c r="P197" s="633"/>
      <c r="Q197" s="633"/>
      <c r="R197" s="633"/>
      <c r="S197" s="633"/>
      <c r="T197" s="633"/>
      <c r="U197" s="633"/>
      <c r="V197" s="633"/>
      <c r="W197" s="633"/>
      <c r="X197" s="633"/>
      <c r="Y197" s="633"/>
      <c r="Z197" s="633"/>
    </row>
    <row r="198" spans="1:26" ht="12.75" customHeight="1" x14ac:dyDescent="0.3">
      <c r="A198" s="633"/>
      <c r="B198" s="633"/>
      <c r="C198" s="633"/>
      <c r="D198" s="633"/>
      <c r="E198" s="633"/>
      <c r="F198" s="633"/>
      <c r="G198" s="633"/>
      <c r="H198" s="633"/>
      <c r="I198" s="633"/>
      <c r="J198" s="633"/>
      <c r="K198" s="633"/>
      <c r="L198" s="633"/>
      <c r="M198" s="633"/>
      <c r="N198" s="633"/>
      <c r="O198" s="633"/>
      <c r="P198" s="633"/>
      <c r="Q198" s="633"/>
      <c r="R198" s="633"/>
      <c r="S198" s="633"/>
      <c r="T198" s="633"/>
      <c r="U198" s="633"/>
      <c r="V198" s="633"/>
      <c r="W198" s="633"/>
      <c r="X198" s="633"/>
      <c r="Y198" s="633"/>
      <c r="Z198" s="633"/>
    </row>
    <row r="199" spans="1:26" ht="12.75" customHeight="1" x14ac:dyDescent="0.3">
      <c r="A199" s="633"/>
      <c r="B199" s="633"/>
      <c r="C199" s="633"/>
      <c r="D199" s="633"/>
      <c r="E199" s="633"/>
      <c r="F199" s="633"/>
      <c r="G199" s="633"/>
      <c r="H199" s="633"/>
      <c r="I199" s="633"/>
      <c r="J199" s="633"/>
      <c r="K199" s="633"/>
      <c r="L199" s="633"/>
      <c r="M199" s="633"/>
      <c r="N199" s="633"/>
      <c r="O199" s="633"/>
      <c r="P199" s="633"/>
      <c r="Q199" s="633"/>
      <c r="R199" s="633"/>
      <c r="S199" s="633"/>
      <c r="T199" s="633"/>
      <c r="U199" s="633"/>
      <c r="V199" s="633"/>
      <c r="W199" s="633"/>
      <c r="X199" s="633"/>
      <c r="Y199" s="633"/>
      <c r="Z199" s="633"/>
    </row>
    <row r="200" spans="1:26" ht="12.75" customHeight="1" x14ac:dyDescent="0.3">
      <c r="A200" s="633"/>
      <c r="B200" s="633"/>
      <c r="C200" s="633"/>
      <c r="D200" s="633"/>
      <c r="E200" s="633"/>
      <c r="F200" s="633"/>
      <c r="G200" s="633"/>
      <c r="H200" s="633"/>
      <c r="I200" s="633"/>
      <c r="J200" s="633"/>
      <c r="K200" s="633"/>
      <c r="L200" s="633"/>
      <c r="M200" s="633"/>
      <c r="N200" s="633"/>
      <c r="O200" s="633"/>
      <c r="P200" s="633"/>
      <c r="Q200" s="633"/>
      <c r="R200" s="633"/>
      <c r="S200" s="633"/>
      <c r="T200" s="633"/>
      <c r="U200" s="633"/>
      <c r="V200" s="633"/>
      <c r="W200" s="633"/>
      <c r="X200" s="633"/>
      <c r="Y200" s="633"/>
      <c r="Z200" s="633"/>
    </row>
    <row r="201" spans="1:26" ht="12.75" customHeight="1" x14ac:dyDescent="0.3">
      <c r="A201" s="633"/>
      <c r="B201" s="633"/>
      <c r="C201" s="633"/>
      <c r="D201" s="633"/>
      <c r="E201" s="633"/>
      <c r="F201" s="633"/>
      <c r="G201" s="633"/>
      <c r="H201" s="633"/>
      <c r="I201" s="633"/>
      <c r="J201" s="633"/>
      <c r="K201" s="633"/>
      <c r="L201" s="633"/>
      <c r="M201" s="633"/>
      <c r="N201" s="633"/>
      <c r="O201" s="633"/>
      <c r="P201" s="633"/>
      <c r="Q201" s="633"/>
      <c r="R201" s="633"/>
      <c r="S201" s="633"/>
      <c r="T201" s="633"/>
      <c r="U201" s="633"/>
      <c r="V201" s="633"/>
      <c r="W201" s="633"/>
      <c r="X201" s="633"/>
      <c r="Y201" s="633"/>
      <c r="Z201" s="633"/>
    </row>
    <row r="202" spans="1:26" ht="12.75" customHeight="1" x14ac:dyDescent="0.3">
      <c r="A202" s="633"/>
      <c r="B202" s="633"/>
      <c r="C202" s="633"/>
      <c r="D202" s="633"/>
      <c r="E202" s="633"/>
      <c r="F202" s="633"/>
      <c r="G202" s="633"/>
      <c r="H202" s="633"/>
      <c r="I202" s="633"/>
      <c r="J202" s="633"/>
      <c r="K202" s="633"/>
      <c r="L202" s="633"/>
      <c r="M202" s="633"/>
      <c r="N202" s="633"/>
      <c r="O202" s="633"/>
      <c r="P202" s="633"/>
      <c r="Q202" s="633"/>
      <c r="R202" s="633"/>
      <c r="S202" s="633"/>
      <c r="T202" s="633"/>
      <c r="U202" s="633"/>
      <c r="V202" s="633"/>
      <c r="W202" s="633"/>
      <c r="X202" s="633"/>
      <c r="Y202" s="633"/>
      <c r="Z202" s="633"/>
    </row>
    <row r="203" spans="1:26" ht="12.75" customHeight="1" x14ac:dyDescent="0.3">
      <c r="A203" s="633"/>
      <c r="B203" s="633"/>
      <c r="C203" s="633"/>
      <c r="D203" s="633"/>
      <c r="E203" s="633"/>
      <c r="F203" s="633"/>
      <c r="G203" s="633"/>
      <c r="H203" s="633"/>
      <c r="I203" s="633"/>
      <c r="J203" s="633"/>
      <c r="K203" s="633"/>
      <c r="L203" s="633"/>
      <c r="M203" s="633"/>
      <c r="N203" s="633"/>
      <c r="O203" s="633"/>
      <c r="P203" s="633"/>
      <c r="Q203" s="633"/>
      <c r="R203" s="633"/>
      <c r="S203" s="633"/>
      <c r="T203" s="633"/>
      <c r="U203" s="633"/>
      <c r="V203" s="633"/>
      <c r="W203" s="633"/>
      <c r="X203" s="633"/>
      <c r="Y203" s="633"/>
      <c r="Z203" s="633"/>
    </row>
    <row r="204" spans="1:26" ht="12.75" customHeight="1" x14ac:dyDescent="0.3">
      <c r="A204" s="633"/>
      <c r="B204" s="633"/>
      <c r="C204" s="633"/>
      <c r="D204" s="633"/>
      <c r="E204" s="633"/>
      <c r="F204" s="633"/>
      <c r="G204" s="633"/>
      <c r="H204" s="633"/>
      <c r="I204" s="633"/>
      <c r="J204" s="633"/>
      <c r="K204" s="633"/>
      <c r="L204" s="633"/>
      <c r="M204" s="633"/>
      <c r="N204" s="633"/>
      <c r="O204" s="633"/>
      <c r="P204" s="633"/>
      <c r="Q204" s="633"/>
      <c r="R204" s="633"/>
      <c r="S204" s="633"/>
      <c r="T204" s="633"/>
      <c r="U204" s="633"/>
      <c r="V204" s="633"/>
      <c r="W204" s="633"/>
      <c r="X204" s="633"/>
      <c r="Y204" s="633"/>
      <c r="Z204" s="633"/>
    </row>
    <row r="205" spans="1:26" ht="12.75" customHeight="1" x14ac:dyDescent="0.3">
      <c r="A205" s="633"/>
      <c r="B205" s="633"/>
      <c r="C205" s="633"/>
      <c r="D205" s="633"/>
      <c r="E205" s="633"/>
      <c r="F205" s="633"/>
      <c r="G205" s="633"/>
      <c r="H205" s="633"/>
      <c r="I205" s="633"/>
      <c r="J205" s="633"/>
      <c r="K205" s="633"/>
      <c r="L205" s="633"/>
      <c r="M205" s="633"/>
      <c r="N205" s="633"/>
      <c r="O205" s="633"/>
      <c r="P205" s="633"/>
      <c r="Q205" s="633"/>
      <c r="R205" s="633"/>
      <c r="S205" s="633"/>
      <c r="T205" s="633"/>
      <c r="U205" s="633"/>
      <c r="V205" s="633"/>
      <c r="W205" s="633"/>
      <c r="X205" s="633"/>
      <c r="Y205" s="633"/>
      <c r="Z205" s="633"/>
    </row>
    <row r="206" spans="1:26" ht="12.75" customHeight="1" x14ac:dyDescent="0.3">
      <c r="A206" s="633"/>
      <c r="B206" s="633"/>
      <c r="C206" s="633"/>
      <c r="D206" s="633"/>
      <c r="E206" s="633"/>
      <c r="F206" s="633"/>
      <c r="G206" s="633"/>
      <c r="H206" s="633"/>
      <c r="I206" s="633"/>
      <c r="J206" s="633"/>
      <c r="K206" s="633"/>
      <c r="L206" s="633"/>
      <c r="M206" s="633"/>
      <c r="N206" s="633"/>
      <c r="O206" s="633"/>
      <c r="P206" s="633"/>
      <c r="Q206" s="633"/>
      <c r="R206" s="633"/>
      <c r="S206" s="633"/>
      <c r="T206" s="633"/>
      <c r="U206" s="633"/>
      <c r="V206" s="633"/>
      <c r="W206" s="633"/>
      <c r="X206" s="633"/>
      <c r="Y206" s="633"/>
      <c r="Z206" s="633"/>
    </row>
    <row r="207" spans="1:26" ht="12.75" customHeight="1" x14ac:dyDescent="0.3">
      <c r="A207" s="633"/>
      <c r="B207" s="633"/>
      <c r="C207" s="633"/>
      <c r="D207" s="633"/>
      <c r="E207" s="633"/>
      <c r="F207" s="633"/>
      <c r="G207" s="633"/>
      <c r="H207" s="633"/>
      <c r="I207" s="633"/>
      <c r="J207" s="633"/>
      <c r="K207" s="633"/>
      <c r="L207" s="633"/>
      <c r="M207" s="633"/>
      <c r="N207" s="633"/>
      <c r="O207" s="633"/>
      <c r="P207" s="633"/>
      <c r="Q207" s="633"/>
      <c r="R207" s="633"/>
      <c r="S207" s="633"/>
      <c r="T207" s="633"/>
      <c r="U207" s="633"/>
      <c r="V207" s="633"/>
      <c r="W207" s="633"/>
      <c r="X207" s="633"/>
      <c r="Y207" s="633"/>
      <c r="Z207" s="633"/>
    </row>
    <row r="208" spans="1:26" ht="12.75" customHeight="1" x14ac:dyDescent="0.3">
      <c r="A208" s="633"/>
      <c r="B208" s="633"/>
      <c r="C208" s="633"/>
      <c r="D208" s="633"/>
      <c r="E208" s="633"/>
      <c r="F208" s="633"/>
      <c r="G208" s="633"/>
      <c r="H208" s="633"/>
      <c r="I208" s="633"/>
      <c r="J208" s="633"/>
      <c r="K208" s="633"/>
      <c r="L208" s="633"/>
      <c r="M208" s="633"/>
      <c r="N208" s="633"/>
      <c r="O208" s="633"/>
      <c r="P208" s="633"/>
      <c r="Q208" s="633"/>
      <c r="R208" s="633"/>
      <c r="S208" s="633"/>
      <c r="T208" s="633"/>
      <c r="U208" s="633"/>
      <c r="V208" s="633"/>
      <c r="W208" s="633"/>
      <c r="X208" s="633"/>
      <c r="Y208" s="633"/>
      <c r="Z208" s="633"/>
    </row>
    <row r="209" spans="1:26" ht="12.75" customHeight="1" x14ac:dyDescent="0.3">
      <c r="A209" s="633"/>
      <c r="B209" s="633"/>
      <c r="C209" s="633"/>
      <c r="D209" s="633"/>
      <c r="E209" s="633"/>
      <c r="F209" s="633"/>
      <c r="G209" s="633"/>
      <c r="H209" s="633"/>
      <c r="I209" s="633"/>
      <c r="J209" s="633"/>
      <c r="K209" s="633"/>
      <c r="L209" s="633"/>
      <c r="M209" s="633"/>
      <c r="N209" s="633"/>
      <c r="O209" s="633"/>
      <c r="P209" s="633"/>
      <c r="Q209" s="633"/>
      <c r="R209" s="633"/>
      <c r="S209" s="633"/>
      <c r="T209" s="633"/>
      <c r="U209" s="633"/>
      <c r="V209" s="633"/>
      <c r="W209" s="633"/>
      <c r="X209" s="633"/>
      <c r="Y209" s="633"/>
      <c r="Z209" s="633"/>
    </row>
    <row r="210" spans="1:26" ht="12.75" customHeight="1" x14ac:dyDescent="0.3">
      <c r="A210" s="633"/>
      <c r="B210" s="633"/>
      <c r="C210" s="633"/>
      <c r="D210" s="633"/>
      <c r="E210" s="633"/>
      <c r="F210" s="633"/>
      <c r="G210" s="633"/>
      <c r="H210" s="633"/>
      <c r="I210" s="633"/>
      <c r="J210" s="633"/>
      <c r="K210" s="633"/>
      <c r="L210" s="633"/>
      <c r="M210" s="633"/>
      <c r="N210" s="633"/>
      <c r="O210" s="633"/>
      <c r="P210" s="633"/>
      <c r="Q210" s="633"/>
      <c r="R210" s="633"/>
      <c r="S210" s="633"/>
      <c r="T210" s="633"/>
      <c r="U210" s="633"/>
      <c r="V210" s="633"/>
      <c r="W210" s="633"/>
      <c r="X210" s="633"/>
      <c r="Y210" s="633"/>
      <c r="Z210" s="633"/>
    </row>
    <row r="211" spans="1:26" ht="12.75" customHeight="1" x14ac:dyDescent="0.3">
      <c r="A211" s="633"/>
      <c r="B211" s="633"/>
      <c r="C211" s="633"/>
      <c r="D211" s="633"/>
      <c r="E211" s="633"/>
      <c r="F211" s="633"/>
      <c r="G211" s="633"/>
      <c r="H211" s="633"/>
      <c r="I211" s="633"/>
      <c r="J211" s="633"/>
      <c r="K211" s="633"/>
      <c r="L211" s="633"/>
      <c r="M211" s="633"/>
      <c r="N211" s="633"/>
      <c r="O211" s="633"/>
      <c r="P211" s="633"/>
      <c r="Q211" s="633"/>
      <c r="R211" s="633"/>
      <c r="S211" s="633"/>
      <c r="T211" s="633"/>
      <c r="U211" s="633"/>
      <c r="V211" s="633"/>
      <c r="W211" s="633"/>
      <c r="X211" s="633"/>
      <c r="Y211" s="633"/>
      <c r="Z211" s="633"/>
    </row>
    <row r="212" spans="1:26" ht="12.75" customHeight="1" x14ac:dyDescent="0.3">
      <c r="A212" s="633"/>
      <c r="B212" s="633"/>
      <c r="C212" s="633"/>
      <c r="D212" s="633"/>
      <c r="E212" s="633"/>
      <c r="F212" s="633"/>
      <c r="G212" s="633"/>
      <c r="H212" s="633"/>
      <c r="I212" s="633"/>
      <c r="J212" s="633"/>
      <c r="K212" s="633"/>
      <c r="L212" s="633"/>
      <c r="M212" s="633"/>
      <c r="N212" s="633"/>
      <c r="O212" s="633"/>
      <c r="P212" s="633"/>
      <c r="Q212" s="633"/>
      <c r="R212" s="633"/>
      <c r="S212" s="633"/>
      <c r="T212" s="633"/>
      <c r="U212" s="633"/>
      <c r="V212" s="633"/>
      <c r="W212" s="633"/>
      <c r="X212" s="633"/>
      <c r="Y212" s="633"/>
      <c r="Z212" s="633"/>
    </row>
    <row r="213" spans="1:26" ht="12.75" customHeight="1" x14ac:dyDescent="0.3">
      <c r="A213" s="633"/>
      <c r="B213" s="633"/>
      <c r="C213" s="633"/>
      <c r="D213" s="633"/>
      <c r="E213" s="633"/>
      <c r="F213" s="633"/>
      <c r="G213" s="633"/>
      <c r="H213" s="633"/>
      <c r="I213" s="633"/>
      <c r="J213" s="633"/>
      <c r="K213" s="633"/>
      <c r="L213" s="633"/>
      <c r="M213" s="633"/>
      <c r="N213" s="633"/>
      <c r="O213" s="633"/>
      <c r="P213" s="633"/>
      <c r="Q213" s="633"/>
      <c r="R213" s="633"/>
      <c r="S213" s="633"/>
      <c r="T213" s="633"/>
      <c r="U213" s="633"/>
      <c r="V213" s="633"/>
      <c r="W213" s="633"/>
      <c r="X213" s="633"/>
      <c r="Y213" s="633"/>
      <c r="Z213" s="633"/>
    </row>
    <row r="214" spans="1:26" ht="12.75" customHeight="1" x14ac:dyDescent="0.3">
      <c r="A214" s="633"/>
      <c r="B214" s="633"/>
      <c r="C214" s="633"/>
      <c r="D214" s="633"/>
      <c r="E214" s="633"/>
      <c r="F214" s="633"/>
      <c r="G214" s="633"/>
      <c r="H214" s="633"/>
      <c r="I214" s="633"/>
      <c r="J214" s="633"/>
      <c r="K214" s="633"/>
      <c r="L214" s="633"/>
      <c r="M214" s="633"/>
      <c r="N214" s="633"/>
      <c r="O214" s="633"/>
      <c r="P214" s="633"/>
      <c r="Q214" s="633"/>
      <c r="R214" s="633"/>
      <c r="S214" s="633"/>
      <c r="T214" s="633"/>
      <c r="U214" s="633"/>
      <c r="V214" s="633"/>
      <c r="W214" s="633"/>
      <c r="X214" s="633"/>
      <c r="Y214" s="633"/>
      <c r="Z214" s="633"/>
    </row>
    <row r="215" spans="1:26" ht="12.75" customHeight="1" x14ac:dyDescent="0.3">
      <c r="A215" s="633"/>
      <c r="B215" s="633"/>
      <c r="C215" s="633"/>
      <c r="D215" s="633"/>
      <c r="E215" s="633"/>
      <c r="F215" s="633"/>
      <c r="G215" s="633"/>
      <c r="H215" s="633"/>
      <c r="I215" s="633"/>
      <c r="J215" s="633"/>
      <c r="K215" s="633"/>
      <c r="L215" s="633"/>
      <c r="M215" s="633"/>
      <c r="N215" s="633"/>
      <c r="O215" s="633"/>
      <c r="P215" s="633"/>
      <c r="Q215" s="633"/>
      <c r="R215" s="633"/>
      <c r="S215" s="633"/>
      <c r="T215" s="633"/>
      <c r="U215" s="633"/>
      <c r="V215" s="633"/>
      <c r="W215" s="633"/>
      <c r="X215" s="633"/>
      <c r="Y215" s="633"/>
      <c r="Z215" s="633"/>
    </row>
    <row r="216" spans="1:26" ht="12.75" customHeight="1" x14ac:dyDescent="0.3">
      <c r="A216" s="633"/>
      <c r="B216" s="633"/>
      <c r="C216" s="633"/>
      <c r="D216" s="633"/>
      <c r="E216" s="633"/>
      <c r="F216" s="633"/>
      <c r="G216" s="633"/>
      <c r="H216" s="633"/>
      <c r="I216" s="633"/>
      <c r="J216" s="633"/>
      <c r="K216" s="633"/>
      <c r="L216" s="633"/>
      <c r="M216" s="633"/>
      <c r="N216" s="633"/>
      <c r="O216" s="633"/>
      <c r="P216" s="633"/>
      <c r="Q216" s="633"/>
      <c r="R216" s="633"/>
      <c r="S216" s="633"/>
      <c r="T216" s="633"/>
      <c r="U216" s="633"/>
      <c r="V216" s="633"/>
      <c r="W216" s="633"/>
      <c r="X216" s="633"/>
      <c r="Y216" s="633"/>
      <c r="Z216" s="633"/>
    </row>
    <row r="217" spans="1:26" ht="12.75" customHeight="1" x14ac:dyDescent="0.3">
      <c r="A217" s="633"/>
      <c r="B217" s="633"/>
      <c r="C217" s="633"/>
      <c r="D217" s="633"/>
      <c r="E217" s="633"/>
      <c r="F217" s="633"/>
      <c r="G217" s="633"/>
      <c r="H217" s="633"/>
      <c r="I217" s="633"/>
      <c r="J217" s="633"/>
      <c r="K217" s="633"/>
      <c r="L217" s="633"/>
      <c r="M217" s="633"/>
      <c r="N217" s="633"/>
      <c r="O217" s="633"/>
      <c r="P217" s="633"/>
      <c r="Q217" s="633"/>
      <c r="R217" s="633"/>
      <c r="S217" s="633"/>
      <c r="T217" s="633"/>
      <c r="U217" s="633"/>
      <c r="V217" s="633"/>
      <c r="W217" s="633"/>
      <c r="X217" s="633"/>
      <c r="Y217" s="633"/>
      <c r="Z217" s="633"/>
    </row>
    <row r="218" spans="1:26" ht="12.75" customHeight="1" x14ac:dyDescent="0.3">
      <c r="A218" s="633"/>
      <c r="B218" s="633"/>
      <c r="C218" s="633"/>
      <c r="D218" s="633"/>
      <c r="E218" s="633"/>
      <c r="F218" s="633"/>
      <c r="G218" s="633"/>
      <c r="H218" s="633"/>
      <c r="I218" s="633"/>
      <c r="J218" s="633"/>
      <c r="K218" s="633"/>
      <c r="L218" s="633"/>
      <c r="M218" s="633"/>
      <c r="N218" s="633"/>
      <c r="O218" s="633"/>
      <c r="P218" s="633"/>
      <c r="Q218" s="633"/>
      <c r="R218" s="633"/>
      <c r="S218" s="633"/>
      <c r="T218" s="633"/>
      <c r="U218" s="633"/>
      <c r="V218" s="633"/>
      <c r="W218" s="633"/>
      <c r="X218" s="633"/>
      <c r="Y218" s="633"/>
      <c r="Z218" s="633"/>
    </row>
    <row r="219" spans="1:26" ht="12.75" customHeight="1" x14ac:dyDescent="0.3">
      <c r="A219" s="633"/>
      <c r="B219" s="633"/>
      <c r="C219" s="633"/>
      <c r="D219" s="633"/>
      <c r="E219" s="633"/>
      <c r="F219" s="633"/>
      <c r="G219" s="633"/>
      <c r="H219" s="633"/>
      <c r="I219" s="633"/>
      <c r="J219" s="633"/>
      <c r="K219" s="633"/>
      <c r="L219" s="633"/>
      <c r="M219" s="633"/>
      <c r="N219" s="633"/>
      <c r="O219" s="633"/>
      <c r="P219" s="633"/>
      <c r="Q219" s="633"/>
      <c r="R219" s="633"/>
      <c r="S219" s="633"/>
      <c r="T219" s="633"/>
      <c r="U219" s="633"/>
      <c r="V219" s="633"/>
      <c r="W219" s="633"/>
      <c r="X219" s="633"/>
      <c r="Y219" s="633"/>
      <c r="Z219" s="633"/>
    </row>
    <row r="220" spans="1:26" ht="12.75" customHeight="1" x14ac:dyDescent="0.3">
      <c r="A220" s="633"/>
      <c r="B220" s="633"/>
      <c r="C220" s="633"/>
      <c r="D220" s="633"/>
      <c r="E220" s="633"/>
      <c r="F220" s="633"/>
      <c r="G220" s="633"/>
      <c r="H220" s="633"/>
      <c r="I220" s="633"/>
      <c r="J220" s="633"/>
      <c r="K220" s="633"/>
      <c r="L220" s="633"/>
      <c r="M220" s="633"/>
      <c r="N220" s="633"/>
      <c r="O220" s="633"/>
      <c r="P220" s="633"/>
      <c r="Q220" s="633"/>
      <c r="R220" s="633"/>
      <c r="S220" s="633"/>
      <c r="T220" s="633"/>
      <c r="U220" s="633"/>
      <c r="V220" s="633"/>
      <c r="W220" s="633"/>
      <c r="X220" s="633"/>
      <c r="Y220" s="633"/>
      <c r="Z220" s="633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mnGfWhlMcaTNtGDaGJLmIolNM0X3OYtfaKaTeOKtAYrdh0npsjRJ+NreyKcyCiDNyeiSFO6l/iWs2RoTD4hQZw==" saltValue="EYL9U9EmS8vfd0lf8Oiglg==" spinCount="100000" sheet="1" objects="1" scenarios="1"/>
  <mergeCells count="1">
    <mergeCell ref="A1:D1"/>
  </mergeCells>
  <pageMargins left="0.7" right="0.7" top="0.75" bottom="0.7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Z1000"/>
  <sheetViews>
    <sheetView workbookViewId="0">
      <selection activeCell="M29" sqref="M29"/>
    </sheetView>
  </sheetViews>
  <sheetFormatPr baseColWidth="10" defaultColWidth="14.3984375" defaultRowHeight="15" customHeight="1" x14ac:dyDescent="0.3"/>
  <cols>
    <col min="1" max="1" width="16.69921875" customWidth="1"/>
    <col min="2" max="2" width="16.59765625" customWidth="1"/>
    <col min="3" max="3" width="6" customWidth="1"/>
    <col min="4" max="4" width="10.59765625" customWidth="1"/>
    <col min="5" max="5" width="11.69921875" customWidth="1"/>
    <col min="6" max="6" width="12.69921875" customWidth="1"/>
    <col min="7" max="7" width="15.296875" customWidth="1"/>
    <col min="8" max="8" width="15.59765625" customWidth="1"/>
    <col min="9" max="9" width="12.69921875" hidden="1" customWidth="1"/>
    <col min="10" max="10" width="15.296875" hidden="1" customWidth="1"/>
    <col min="11" max="11" width="15.59765625" hidden="1" customWidth="1"/>
    <col min="12" max="12" width="12.69921875" customWidth="1"/>
    <col min="13" max="13" width="15.296875" customWidth="1"/>
    <col min="14" max="14" width="15.59765625" customWidth="1"/>
    <col min="15" max="15" width="12.69921875" customWidth="1"/>
    <col min="16" max="16" width="15.296875" customWidth="1"/>
    <col min="17" max="20" width="11.59765625" customWidth="1"/>
    <col min="21" max="22" width="10" customWidth="1"/>
    <col min="23" max="26" width="17.296875" customWidth="1"/>
  </cols>
  <sheetData>
    <row r="1" spans="1:26" ht="18.75" customHeight="1" x14ac:dyDescent="0.35">
      <c r="A1" s="652" t="s">
        <v>514</v>
      </c>
      <c r="B1" s="118"/>
      <c r="C1" s="653"/>
      <c r="D1" s="653"/>
      <c r="E1" s="653"/>
      <c r="F1" s="653"/>
      <c r="G1" s="653"/>
      <c r="H1" s="653"/>
      <c r="I1" s="653"/>
      <c r="J1" s="653"/>
      <c r="K1" s="654"/>
      <c r="L1" s="653"/>
      <c r="M1" s="653"/>
      <c r="N1" s="654"/>
      <c r="O1" s="654"/>
      <c r="P1" s="654"/>
      <c r="Q1" s="654"/>
      <c r="R1" s="654"/>
      <c r="S1" s="654"/>
      <c r="T1" s="654"/>
      <c r="U1" s="654"/>
      <c r="V1" s="654"/>
      <c r="W1" s="653"/>
      <c r="X1" s="653"/>
      <c r="Y1" s="653"/>
      <c r="Z1" s="653"/>
    </row>
    <row r="2" spans="1:26" ht="21" customHeight="1" x14ac:dyDescent="0.35">
      <c r="A2" s="127" t="s">
        <v>515</v>
      </c>
      <c r="B2" s="968" t="s">
        <v>516</v>
      </c>
      <c r="C2" s="960"/>
      <c r="D2" s="960"/>
      <c r="E2" s="960"/>
      <c r="F2" s="960"/>
      <c r="G2" s="960"/>
      <c r="H2" s="960"/>
      <c r="I2" s="969" t="s">
        <v>517</v>
      </c>
      <c r="J2" s="960"/>
      <c r="K2" s="958"/>
      <c r="L2" s="968" t="s">
        <v>518</v>
      </c>
      <c r="M2" s="960"/>
      <c r="N2" s="958"/>
      <c r="O2" s="969" t="s">
        <v>519</v>
      </c>
      <c r="P2" s="958"/>
      <c r="Q2" s="654"/>
      <c r="R2" s="654"/>
      <c r="S2" s="654"/>
      <c r="T2" s="654"/>
      <c r="U2" s="654"/>
      <c r="V2" s="654"/>
      <c r="W2" s="653"/>
      <c r="X2" s="653"/>
      <c r="Y2" s="653"/>
      <c r="Z2" s="653"/>
    </row>
    <row r="3" spans="1:26" ht="12" customHeight="1" x14ac:dyDescent="0.35">
      <c r="A3" s="127" t="s">
        <v>520</v>
      </c>
      <c r="B3" s="655"/>
      <c r="C3" s="655" t="s">
        <v>521</v>
      </c>
      <c r="D3" s="655" t="s">
        <v>370</v>
      </c>
      <c r="E3" s="655" t="s">
        <v>522</v>
      </c>
      <c r="F3" s="655" t="s">
        <v>523</v>
      </c>
      <c r="G3" s="655" t="s">
        <v>524</v>
      </c>
      <c r="H3" s="656" t="s">
        <v>525</v>
      </c>
      <c r="I3" s="127" t="s">
        <v>523</v>
      </c>
      <c r="J3" s="655" t="s">
        <v>524</v>
      </c>
      <c r="K3" s="657" t="s">
        <v>526</v>
      </c>
      <c r="L3" s="655" t="s">
        <v>523</v>
      </c>
      <c r="M3" s="655" t="s">
        <v>524</v>
      </c>
      <c r="N3" s="657" t="s">
        <v>527</v>
      </c>
      <c r="O3" s="127" t="s">
        <v>523</v>
      </c>
      <c r="P3" s="657" t="s">
        <v>524</v>
      </c>
      <c r="Q3" s="126"/>
      <c r="R3" s="126"/>
      <c r="S3" s="126"/>
      <c r="T3" s="126"/>
      <c r="U3" s="126"/>
      <c r="V3" s="126"/>
    </row>
    <row r="4" spans="1:26" ht="12" customHeight="1" x14ac:dyDescent="0.35">
      <c r="A4" s="658"/>
      <c r="B4" s="658" t="s">
        <v>304</v>
      </c>
      <c r="C4" s="658"/>
      <c r="D4" s="82"/>
      <c r="E4" s="82"/>
      <c r="F4" s="82"/>
      <c r="G4" s="82"/>
      <c r="H4" s="659"/>
      <c r="I4" s="121"/>
      <c r="J4" s="82"/>
      <c r="K4" s="590"/>
      <c r="L4" s="82"/>
      <c r="M4" s="82"/>
      <c r="N4" s="590"/>
      <c r="O4" s="121"/>
      <c r="P4" s="590"/>
      <c r="Q4" s="126"/>
      <c r="R4" s="126"/>
      <c r="S4" s="126"/>
      <c r="T4" s="126"/>
      <c r="U4" s="126"/>
      <c r="V4" s="126"/>
      <c r="W4" s="118"/>
      <c r="X4" s="118"/>
      <c r="Y4" s="118"/>
      <c r="Z4" s="118"/>
    </row>
    <row r="5" spans="1:26" ht="12" customHeight="1" x14ac:dyDescent="0.35">
      <c r="A5" s="408">
        <f>SUM($D5:$E5)*4*'Progr. konstanter og variabler'!$B4</f>
        <v>53907.264172043033</v>
      </c>
      <c r="B5" s="660" t="s">
        <v>385</v>
      </c>
      <c r="C5" s="661">
        <f>'Progr. konstanter og variabler'!$B41</f>
        <v>7797.6816043010758</v>
      </c>
      <c r="D5" s="662">
        <v>1350</v>
      </c>
      <c r="E5" s="175">
        <f t="shared" ref="E5:E9" si="0">C5-D5-F5</f>
        <v>-2.3183956989241779</v>
      </c>
      <c r="F5" s="663">
        <f t="shared" ref="F5:F9" si="1">MROUND(C5-D5,50)</f>
        <v>6450</v>
      </c>
      <c r="G5" s="664">
        <f t="shared" ref="G5:G8" si="2">F5*4</f>
        <v>25800</v>
      </c>
      <c r="H5" s="665">
        <f t="shared" ref="H5:H9" si="3">(F5-L5)/L5</f>
        <v>4.0322580645161289E-2</v>
      </c>
      <c r="I5" s="666">
        <v>6200</v>
      </c>
      <c r="J5" s="667">
        <f t="shared" ref="J5:J8" si="4">I5*4</f>
        <v>24800</v>
      </c>
      <c r="K5" s="668">
        <f t="shared" ref="K5:K9" si="5">(I5-L5)/L5</f>
        <v>0</v>
      </c>
      <c r="L5" s="669">
        <v>6200</v>
      </c>
      <c r="M5" s="667">
        <f t="shared" ref="M5:M8" si="6">L5*4</f>
        <v>24800</v>
      </c>
      <c r="N5" s="668">
        <f t="shared" ref="N5:N9" si="7">(L5-O5)/O5</f>
        <v>3.3333333333333333E-2</v>
      </c>
      <c r="O5" s="670">
        <v>6000</v>
      </c>
      <c r="P5" s="671">
        <v>24000</v>
      </c>
      <c r="Q5" s="126"/>
      <c r="R5" s="118"/>
      <c r="S5" s="126"/>
      <c r="T5" s="126"/>
      <c r="U5" s="126"/>
      <c r="V5" s="126"/>
      <c r="W5" s="118"/>
      <c r="X5" s="118"/>
      <c r="Y5" s="118"/>
      <c r="Z5" s="118"/>
    </row>
    <row r="6" spans="1:26" ht="12" customHeight="1" x14ac:dyDescent="0.35">
      <c r="A6" s="408">
        <f>SUM($D6:$E6)*4*'Progr. konstanter og variabler'!$B5</f>
        <v>92860.896258064546</v>
      </c>
      <c r="B6" s="660" t="s">
        <v>386</v>
      </c>
      <c r="C6" s="661">
        <f>'Progr. konstanter og variabler'!$B41</f>
        <v>7797.6816043010758</v>
      </c>
      <c r="D6" s="662">
        <v>1550</v>
      </c>
      <c r="E6" s="175">
        <f t="shared" si="0"/>
        <v>-2.3183956989241779</v>
      </c>
      <c r="F6" s="663">
        <f t="shared" si="1"/>
        <v>6250</v>
      </c>
      <c r="G6" s="664">
        <f t="shared" si="2"/>
        <v>25000</v>
      </c>
      <c r="H6" s="665">
        <f t="shared" si="3"/>
        <v>4.1666666666666664E-2</v>
      </c>
      <c r="I6" s="666">
        <v>6000</v>
      </c>
      <c r="J6" s="667">
        <f t="shared" si="4"/>
        <v>24000</v>
      </c>
      <c r="K6" s="668">
        <f t="shared" si="5"/>
        <v>0</v>
      </c>
      <c r="L6" s="669">
        <v>6000</v>
      </c>
      <c r="M6" s="667">
        <f t="shared" si="6"/>
        <v>24000</v>
      </c>
      <c r="N6" s="668">
        <f t="shared" si="7"/>
        <v>3.4482758620689655E-2</v>
      </c>
      <c r="O6" s="670">
        <v>5800</v>
      </c>
      <c r="P6" s="671">
        <v>23200</v>
      </c>
      <c r="Q6" s="126"/>
      <c r="R6" s="118"/>
      <c r="S6" s="126"/>
      <c r="T6" s="126"/>
      <c r="U6" s="126"/>
      <c r="V6" s="126"/>
      <c r="W6" s="118"/>
      <c r="X6" s="118"/>
      <c r="Y6" s="118"/>
      <c r="Z6" s="118"/>
    </row>
    <row r="7" spans="1:26" ht="12" customHeight="1" x14ac:dyDescent="0.35">
      <c r="A7" s="408">
        <f>SUM($D7:$E7)*4*'Progr. konstanter og variabler'!$B6</f>
        <v>0</v>
      </c>
      <c r="B7" s="660" t="s">
        <v>528</v>
      </c>
      <c r="C7" s="661">
        <f>'Progr. konstanter og variabler'!$B41</f>
        <v>7797.6816043010758</v>
      </c>
      <c r="D7" s="662">
        <v>1850</v>
      </c>
      <c r="E7" s="175">
        <f t="shared" si="0"/>
        <v>-2.3183956989241779</v>
      </c>
      <c r="F7" s="663">
        <f t="shared" si="1"/>
        <v>5950</v>
      </c>
      <c r="G7" s="664">
        <f t="shared" si="2"/>
        <v>23800</v>
      </c>
      <c r="H7" s="665">
        <f t="shared" si="3"/>
        <v>4.3859649122807015E-2</v>
      </c>
      <c r="I7" s="666">
        <v>5700</v>
      </c>
      <c r="J7" s="667">
        <f t="shared" si="4"/>
        <v>22800</v>
      </c>
      <c r="K7" s="668">
        <f t="shared" si="5"/>
        <v>0</v>
      </c>
      <c r="L7" s="669">
        <v>5700</v>
      </c>
      <c r="M7" s="667">
        <f t="shared" si="6"/>
        <v>22800</v>
      </c>
      <c r="N7" s="668">
        <f t="shared" si="7"/>
        <v>3.6363636363636362E-2</v>
      </c>
      <c r="O7" s="670">
        <v>5500</v>
      </c>
      <c r="P7" s="671">
        <v>22000</v>
      </c>
      <c r="Q7" s="126"/>
      <c r="R7" s="118"/>
      <c r="S7" s="126"/>
      <c r="T7" s="126"/>
      <c r="U7" s="126"/>
      <c r="V7" s="126"/>
      <c r="W7" s="118"/>
      <c r="X7" s="118"/>
      <c r="Y7" s="118"/>
      <c r="Z7" s="118"/>
    </row>
    <row r="8" spans="1:26" ht="12" customHeight="1" x14ac:dyDescent="0.35">
      <c r="A8" s="408">
        <f>SUM($D8:$E8)*4*'Progr. konstanter og variabler'!$B7</f>
        <v>0</v>
      </c>
      <c r="B8" s="660" t="s">
        <v>529</v>
      </c>
      <c r="C8" s="661">
        <f>'Progr. konstanter og variabler'!$B41</f>
        <v>7797.6816043010758</v>
      </c>
      <c r="D8" s="662">
        <v>1850</v>
      </c>
      <c r="E8" s="175">
        <f t="shared" si="0"/>
        <v>-2.3183956989241779</v>
      </c>
      <c r="F8" s="663">
        <f t="shared" si="1"/>
        <v>5950</v>
      </c>
      <c r="G8" s="664">
        <f t="shared" si="2"/>
        <v>23800</v>
      </c>
      <c r="H8" s="665">
        <f t="shared" si="3"/>
        <v>4.3859649122807015E-2</v>
      </c>
      <c r="I8" s="666">
        <v>5700</v>
      </c>
      <c r="J8" s="667">
        <f t="shared" si="4"/>
        <v>22800</v>
      </c>
      <c r="K8" s="668">
        <f t="shared" si="5"/>
        <v>0</v>
      </c>
      <c r="L8" s="669">
        <v>5700</v>
      </c>
      <c r="M8" s="667">
        <f t="shared" si="6"/>
        <v>22800</v>
      </c>
      <c r="N8" s="668">
        <f t="shared" si="7"/>
        <v>3.6363636363636362E-2</v>
      </c>
      <c r="O8" s="670">
        <v>5500</v>
      </c>
      <c r="P8" s="671">
        <v>22000</v>
      </c>
      <c r="Q8" s="126"/>
      <c r="R8" s="118"/>
      <c r="S8" s="126"/>
      <c r="T8" s="126"/>
      <c r="U8" s="126"/>
      <c r="V8" s="126"/>
      <c r="W8" s="118"/>
      <c r="X8" s="118"/>
      <c r="Y8" s="118"/>
      <c r="Z8" s="118"/>
    </row>
    <row r="9" spans="1:26" ht="12" customHeight="1" x14ac:dyDescent="0.35">
      <c r="A9" s="408">
        <f>SUM($D9:$E9)*'Progr. konstanter og variabler'!$C$11</f>
        <v>36171.398606451621</v>
      </c>
      <c r="B9" s="660" t="s">
        <v>530</v>
      </c>
      <c r="C9" s="661">
        <f>'Progr. konstanter og variabler'!C41</f>
        <v>9014.2832172043018</v>
      </c>
      <c r="D9" s="662">
        <v>3000</v>
      </c>
      <c r="E9" s="175">
        <f t="shared" si="0"/>
        <v>14.283217204301764</v>
      </c>
      <c r="F9" s="663">
        <f t="shared" si="1"/>
        <v>6000</v>
      </c>
      <c r="G9" s="664" t="s">
        <v>531</v>
      </c>
      <c r="H9" s="672">
        <f t="shared" si="3"/>
        <v>-3.2258064516129031E-2</v>
      </c>
      <c r="I9" s="666">
        <v>6200</v>
      </c>
      <c r="J9" s="667"/>
      <c r="K9" s="668">
        <f t="shared" si="5"/>
        <v>0</v>
      </c>
      <c r="L9" s="669">
        <v>6200</v>
      </c>
      <c r="M9" s="667"/>
      <c r="N9" s="668">
        <f t="shared" si="7"/>
        <v>0</v>
      </c>
      <c r="O9" s="670">
        <v>6200</v>
      </c>
      <c r="P9" s="671" t="s">
        <v>531</v>
      </c>
      <c r="Q9" s="126"/>
      <c r="R9" s="118"/>
      <c r="S9" s="126"/>
      <c r="T9" s="126"/>
      <c r="U9" s="126"/>
      <c r="V9" s="126"/>
      <c r="W9" s="118"/>
      <c r="X9" s="118"/>
      <c r="Y9" s="118"/>
      <c r="Z9" s="118"/>
    </row>
    <row r="10" spans="1:26" ht="12" customHeight="1" x14ac:dyDescent="0.35">
      <c r="A10" s="170">
        <f>SUM(A5:A9)</f>
        <v>182939.55903655919</v>
      </c>
      <c r="B10" s="673"/>
      <c r="C10" s="674"/>
      <c r="D10" s="675"/>
      <c r="E10" s="675"/>
      <c r="F10" s="675"/>
      <c r="G10" s="676"/>
      <c r="H10" s="677"/>
      <c r="I10" s="678"/>
      <c r="J10" s="679"/>
      <c r="K10" s="680"/>
      <c r="L10" s="679"/>
      <c r="M10" s="679"/>
      <c r="N10" s="680"/>
      <c r="O10" s="678"/>
      <c r="P10" s="680"/>
      <c r="Q10" s="126"/>
      <c r="S10" s="126"/>
      <c r="T10" s="126"/>
      <c r="U10" s="126"/>
      <c r="V10" s="126"/>
    </row>
    <row r="11" spans="1:26" ht="12" customHeight="1" x14ac:dyDescent="0.35">
      <c r="A11" s="681"/>
      <c r="B11" s="658" t="s">
        <v>305</v>
      </c>
      <c r="C11" s="682"/>
      <c r="D11" s="82"/>
      <c r="E11" s="82"/>
      <c r="F11" s="82"/>
      <c r="G11" s="82"/>
      <c r="H11" s="683"/>
      <c r="I11" s="121"/>
      <c r="J11" s="82"/>
      <c r="K11" s="590"/>
      <c r="L11" s="82"/>
      <c r="M11" s="82"/>
      <c r="N11" s="590"/>
      <c r="O11" s="121"/>
      <c r="P11" s="590"/>
      <c r="Q11" s="126"/>
      <c r="R11" s="118"/>
      <c r="S11" s="126"/>
      <c r="T11" s="126"/>
      <c r="U11" s="126"/>
      <c r="V11" s="126"/>
      <c r="W11" s="118"/>
      <c r="X11" s="118"/>
      <c r="Y11" s="118"/>
      <c r="Z11" s="118"/>
    </row>
    <row r="12" spans="1:26" ht="12" customHeight="1" x14ac:dyDescent="0.35">
      <c r="A12" s="408">
        <f>SUM($D12:$E12)*4*'Progr. konstanter og variabler'!$D4</f>
        <v>13729.721668817219</v>
      </c>
      <c r="B12" s="660" t="s">
        <v>385</v>
      </c>
      <c r="C12" s="661">
        <f>'Progr. konstanter og variabler'!$D41</f>
        <v>7708.1076043010762</v>
      </c>
      <c r="D12" s="662">
        <v>850</v>
      </c>
      <c r="E12" s="175">
        <f t="shared" ref="E12:E15" si="8">C12-D12-F12</f>
        <v>8.1076043010762078</v>
      </c>
      <c r="F12" s="663">
        <f t="shared" ref="F12:F15" si="9">MROUND(C12-D12,50)</f>
        <v>6850</v>
      </c>
      <c r="G12" s="664">
        <f t="shared" ref="G12:G15" si="10">F12*4</f>
        <v>27400</v>
      </c>
      <c r="H12" s="665">
        <f t="shared" ref="H12:H15" si="11">(F12-L12)/L12</f>
        <v>-4.195804195804196E-2</v>
      </c>
      <c r="I12" s="666">
        <v>7150</v>
      </c>
      <c r="J12" s="667">
        <f t="shared" ref="J12:J15" si="12">I12*4</f>
        <v>28600</v>
      </c>
      <c r="K12" s="668">
        <f t="shared" ref="K12:K15" si="13">(I12-L12)/L12</f>
        <v>0</v>
      </c>
      <c r="L12" s="669">
        <v>7150</v>
      </c>
      <c r="M12" s="667">
        <f t="shared" ref="M12:M15" si="14">L12*4</f>
        <v>28600</v>
      </c>
      <c r="N12" s="668">
        <f t="shared" ref="N12:N15" si="15">(L12-O12)/O12</f>
        <v>7.0422535211267607E-3</v>
      </c>
      <c r="O12" s="670">
        <v>7100</v>
      </c>
      <c r="P12" s="671">
        <v>28400</v>
      </c>
      <c r="Q12" s="126"/>
      <c r="S12" s="126"/>
      <c r="T12" s="126"/>
      <c r="U12" s="126"/>
      <c r="V12" s="126"/>
    </row>
    <row r="13" spans="1:26" ht="12" customHeight="1" x14ac:dyDescent="0.35">
      <c r="A13" s="408">
        <f>SUM($D13:$E13)*4*'Progr. konstanter og variabler'!$D5</f>
        <v>41691.873754838743</v>
      </c>
      <c r="B13" s="660" t="s">
        <v>386</v>
      </c>
      <c r="C13" s="661">
        <f>'Progr. konstanter og variabler'!$D41</f>
        <v>7708.1076043010762</v>
      </c>
      <c r="D13" s="662">
        <v>1150</v>
      </c>
      <c r="E13" s="175">
        <f t="shared" si="8"/>
        <v>8.1076043010762078</v>
      </c>
      <c r="F13" s="663">
        <f t="shared" si="9"/>
        <v>6550</v>
      </c>
      <c r="G13" s="664">
        <f t="shared" si="10"/>
        <v>26200</v>
      </c>
      <c r="H13" s="665">
        <f t="shared" si="11"/>
        <v>-5.0724637681159424E-2</v>
      </c>
      <c r="I13" s="666">
        <v>6900</v>
      </c>
      <c r="J13" s="667">
        <f t="shared" si="12"/>
        <v>27600</v>
      </c>
      <c r="K13" s="668">
        <f t="shared" si="13"/>
        <v>0</v>
      </c>
      <c r="L13" s="669">
        <v>6900</v>
      </c>
      <c r="M13" s="667">
        <f t="shared" si="14"/>
        <v>27600</v>
      </c>
      <c r="N13" s="668">
        <f t="shared" si="15"/>
        <v>1.4705882352941176E-2</v>
      </c>
      <c r="O13" s="670">
        <v>6800</v>
      </c>
      <c r="P13" s="671">
        <v>27200</v>
      </c>
      <c r="Q13" s="126"/>
      <c r="S13" s="126"/>
      <c r="T13" s="126"/>
      <c r="U13" s="126"/>
      <c r="V13" s="126"/>
    </row>
    <row r="14" spans="1:26" ht="12" customHeight="1" x14ac:dyDescent="0.35">
      <c r="A14" s="408">
        <f>SUM($D14:$E14)*4*'Progr. konstanter og variabler'!$D6</f>
        <v>0</v>
      </c>
      <c r="B14" s="660" t="s">
        <v>528</v>
      </c>
      <c r="C14" s="661">
        <f>'Progr. konstanter og variabler'!$D41</f>
        <v>7708.1076043010762</v>
      </c>
      <c r="D14" s="662">
        <v>1450</v>
      </c>
      <c r="E14" s="175">
        <f t="shared" si="8"/>
        <v>8.1076043010762078</v>
      </c>
      <c r="F14" s="663">
        <f t="shared" si="9"/>
        <v>6250</v>
      </c>
      <c r="G14" s="664">
        <f t="shared" si="10"/>
        <v>25000</v>
      </c>
      <c r="H14" s="665">
        <f t="shared" si="11"/>
        <v>-5.3030303030303032E-2</v>
      </c>
      <c r="I14" s="666">
        <v>6600</v>
      </c>
      <c r="J14" s="667">
        <f t="shared" si="12"/>
        <v>26400</v>
      </c>
      <c r="K14" s="668">
        <f t="shared" si="13"/>
        <v>0</v>
      </c>
      <c r="L14" s="669">
        <v>6600</v>
      </c>
      <c r="M14" s="667">
        <f t="shared" si="14"/>
        <v>26400</v>
      </c>
      <c r="N14" s="668">
        <f t="shared" si="15"/>
        <v>1.5384615384615385E-2</v>
      </c>
      <c r="O14" s="670">
        <v>6500</v>
      </c>
      <c r="P14" s="671">
        <v>26000</v>
      </c>
      <c r="Q14" s="126"/>
      <c r="R14" s="118"/>
      <c r="S14" s="126"/>
      <c r="T14" s="126"/>
      <c r="U14" s="126"/>
      <c r="V14" s="126"/>
      <c r="W14" s="118"/>
      <c r="X14" s="118"/>
      <c r="Y14" s="118"/>
      <c r="Z14" s="118"/>
    </row>
    <row r="15" spans="1:26" ht="12" customHeight="1" x14ac:dyDescent="0.35">
      <c r="A15" s="408">
        <f>SUM($D15:$E15)*4*'Progr. konstanter og variabler'!$D7</f>
        <v>0</v>
      </c>
      <c r="B15" s="684" t="s">
        <v>529</v>
      </c>
      <c r="C15" s="685">
        <f>'Progr. konstanter og variabler'!$D41</f>
        <v>7708.1076043010762</v>
      </c>
      <c r="D15" s="686">
        <v>1450</v>
      </c>
      <c r="E15" s="687">
        <f t="shared" si="8"/>
        <v>8.1076043010762078</v>
      </c>
      <c r="F15" s="688">
        <f t="shared" si="9"/>
        <v>6250</v>
      </c>
      <c r="G15" s="689">
        <f t="shared" si="10"/>
        <v>25000</v>
      </c>
      <c r="H15" s="672">
        <f t="shared" si="11"/>
        <v>-5.3030303030303032E-2</v>
      </c>
      <c r="I15" s="690">
        <v>6600</v>
      </c>
      <c r="J15" s="691">
        <f t="shared" si="12"/>
        <v>26400</v>
      </c>
      <c r="K15" s="692">
        <f t="shared" si="13"/>
        <v>0</v>
      </c>
      <c r="L15" s="693">
        <v>6600</v>
      </c>
      <c r="M15" s="691">
        <f t="shared" si="14"/>
        <v>26400</v>
      </c>
      <c r="N15" s="692">
        <f t="shared" si="15"/>
        <v>1.5384615384615385E-2</v>
      </c>
      <c r="O15" s="694">
        <v>6500</v>
      </c>
      <c r="P15" s="695">
        <v>26000</v>
      </c>
      <c r="Q15" s="126"/>
      <c r="R15" s="118"/>
      <c r="S15" s="126"/>
      <c r="T15" s="126"/>
      <c r="U15" s="126"/>
      <c r="V15" s="126"/>
      <c r="W15" s="118"/>
      <c r="X15" s="118"/>
      <c r="Y15" s="118"/>
      <c r="Z15" s="118"/>
    </row>
    <row r="16" spans="1:26" ht="12" customHeight="1" x14ac:dyDescent="0.35">
      <c r="A16" s="170">
        <f>SUM(A12:A15)</f>
        <v>55421.595423655963</v>
      </c>
      <c r="B16" s="673"/>
      <c r="C16" s="675"/>
      <c r="D16" s="675"/>
      <c r="E16" s="675"/>
      <c r="F16" s="675"/>
      <c r="G16" s="676"/>
      <c r="H16" s="677"/>
      <c r="I16" s="678"/>
      <c r="J16" s="679"/>
      <c r="K16" s="680"/>
      <c r="L16" s="679"/>
      <c r="M16" s="679"/>
      <c r="N16" s="680"/>
      <c r="O16" s="678"/>
      <c r="P16" s="680"/>
      <c r="Q16" s="126"/>
      <c r="R16" s="118"/>
      <c r="S16" s="126"/>
      <c r="T16" s="126"/>
      <c r="U16" s="126"/>
      <c r="V16" s="126"/>
      <c r="W16" s="118"/>
      <c r="X16" s="118"/>
      <c r="Y16" s="118"/>
      <c r="Z16" s="118"/>
    </row>
    <row r="17" spans="1:26" ht="12" customHeight="1" x14ac:dyDescent="0.35">
      <c r="A17" s="681"/>
      <c r="B17" s="658" t="s">
        <v>306</v>
      </c>
      <c r="C17" s="658"/>
      <c r="D17" s="82"/>
      <c r="E17" s="82"/>
      <c r="F17" s="82"/>
      <c r="G17" s="82"/>
      <c r="H17" s="683"/>
      <c r="I17" s="121"/>
      <c r="J17" s="82"/>
      <c r="K17" s="590"/>
      <c r="L17" s="82"/>
      <c r="M17" s="82"/>
      <c r="N17" s="590"/>
      <c r="O17" s="121"/>
      <c r="P17" s="590"/>
      <c r="Q17" s="126"/>
      <c r="R17" s="118"/>
      <c r="S17" s="126"/>
      <c r="T17" s="126"/>
      <c r="U17" s="126"/>
      <c r="V17" s="126"/>
      <c r="W17" s="118"/>
      <c r="X17" s="118"/>
      <c r="Y17" s="118"/>
      <c r="Z17" s="118"/>
    </row>
    <row r="18" spans="1:26" ht="12" customHeight="1" x14ac:dyDescent="0.35">
      <c r="A18" s="696">
        <f>SUM($D18:$E18)*'Progr. konstanter og variabler'!$E11</f>
        <v>-246.46236559140107</v>
      </c>
      <c r="B18" s="697"/>
      <c r="C18" s="686">
        <f>'Progr. konstanter og variabler'!E41</f>
        <v>3975.3537634408599</v>
      </c>
      <c r="D18" s="686"/>
      <c r="E18" s="687">
        <f>C18-D18-F18</f>
        <v>-24.646236559140107</v>
      </c>
      <c r="F18" s="688">
        <f>MROUND(C18-D18,50)</f>
        <v>4000</v>
      </c>
      <c r="G18" s="689">
        <f>F18*8</f>
        <v>32000</v>
      </c>
      <c r="H18" s="672">
        <f>(F18-L18)/L18</f>
        <v>2.564102564102564E-2</v>
      </c>
      <c r="I18" s="690">
        <v>3900</v>
      </c>
      <c r="J18" s="698">
        <f>I18*8</f>
        <v>31200</v>
      </c>
      <c r="K18" s="692">
        <f>(I18-L18)/L18</f>
        <v>0</v>
      </c>
      <c r="L18" s="693">
        <v>3900</v>
      </c>
      <c r="M18" s="698">
        <f>L18*8</f>
        <v>31200</v>
      </c>
      <c r="N18" s="692">
        <f>(L18-O18)/O18</f>
        <v>5.4054054054054057E-2</v>
      </c>
      <c r="O18" s="699">
        <v>3700</v>
      </c>
      <c r="P18" s="695">
        <v>37000</v>
      </c>
      <c r="Q18" s="126"/>
      <c r="R18" s="118"/>
      <c r="S18" s="126"/>
      <c r="T18" s="126"/>
      <c r="U18" s="126"/>
      <c r="V18" s="126"/>
      <c r="W18" s="118"/>
      <c r="X18" s="118"/>
      <c r="Y18" s="118"/>
      <c r="Z18" s="118"/>
    </row>
    <row r="19" spans="1:26" ht="12" customHeight="1" x14ac:dyDescent="0.35">
      <c r="A19" s="681"/>
      <c r="B19" s="658" t="s">
        <v>307</v>
      </c>
      <c r="C19" s="658"/>
      <c r="D19" s="82"/>
      <c r="E19" s="82"/>
      <c r="F19" s="82"/>
      <c r="G19" s="82"/>
      <c r="H19" s="683"/>
      <c r="I19" s="121"/>
      <c r="J19" s="82"/>
      <c r="K19" s="590"/>
      <c r="L19" s="82"/>
      <c r="M19" s="82"/>
      <c r="N19" s="590"/>
      <c r="O19" s="121"/>
      <c r="P19" s="590"/>
      <c r="Q19" s="126"/>
      <c r="R19" s="118"/>
      <c r="S19" s="126"/>
      <c r="T19" s="126"/>
      <c r="U19" s="126"/>
      <c r="V19" s="126"/>
      <c r="W19" s="118"/>
      <c r="X19" s="118"/>
      <c r="Y19" s="118"/>
      <c r="Z19" s="118"/>
    </row>
    <row r="20" spans="1:26" ht="12" customHeight="1" x14ac:dyDescent="0.35">
      <c r="A20" s="408">
        <f>SUM($D20:$E20)*'Progr. konstanter og variabler'!$F11</f>
        <v>18894.393720430093</v>
      </c>
      <c r="B20" s="660" t="s">
        <v>382</v>
      </c>
      <c r="C20" s="662">
        <f>'Progr. konstanter og variabler'!F41</f>
        <v>3524.7997757296462</v>
      </c>
      <c r="D20" s="662">
        <v>650</v>
      </c>
      <c r="E20" s="175">
        <f t="shared" ref="E20:E21" si="16">C20-D20-F20</f>
        <v>24.799775729646171</v>
      </c>
      <c r="F20" s="663">
        <f t="shared" ref="F20:F21" si="17">MROUND(C20-D20,50)</f>
        <v>2850</v>
      </c>
      <c r="G20" s="664">
        <f t="shared" ref="G20:G21" si="18">F20*6</f>
        <v>17100</v>
      </c>
      <c r="H20" s="665">
        <f t="shared" ref="H20:H21" si="19">(F20-L20)/L20</f>
        <v>0</v>
      </c>
      <c r="I20" s="666">
        <v>2850</v>
      </c>
      <c r="J20" s="700">
        <f t="shared" ref="J20:J21" si="20">I20*6</f>
        <v>17100</v>
      </c>
      <c r="K20" s="668">
        <f t="shared" ref="K20:K21" si="21">(I20-L20)/L20</f>
        <v>0</v>
      </c>
      <c r="L20" s="669">
        <v>2850</v>
      </c>
      <c r="M20" s="700">
        <f t="shared" ref="M20:M21" si="22">L20*6</f>
        <v>17100</v>
      </c>
      <c r="N20" s="668">
        <f t="shared" ref="N20:N21" si="23">(L20-O20)/O20</f>
        <v>1.7857142857142856E-2</v>
      </c>
      <c r="O20" s="701">
        <v>2800</v>
      </c>
      <c r="P20" s="671">
        <v>16800</v>
      </c>
      <c r="Q20" s="126"/>
      <c r="S20" s="126"/>
      <c r="T20" s="126"/>
      <c r="U20" s="126"/>
      <c r="V20" s="126"/>
    </row>
    <row r="21" spans="1:26" ht="12" customHeight="1" x14ac:dyDescent="0.35">
      <c r="A21" s="408">
        <f>SUM($D21:$E21)*'Progr. konstanter og variabler'!G11</f>
        <v>17558.215514592939</v>
      </c>
      <c r="B21" s="660" t="s">
        <v>383</v>
      </c>
      <c r="C21" s="662">
        <f>'Progr. konstanter og variabler'!G41</f>
        <v>4877.910775729647</v>
      </c>
      <c r="D21" s="662">
        <v>900</v>
      </c>
      <c r="E21" s="175">
        <f t="shared" si="16"/>
        <v>-22.089224270353043</v>
      </c>
      <c r="F21" s="663">
        <f t="shared" si="17"/>
        <v>4000</v>
      </c>
      <c r="G21" s="664">
        <f t="shared" si="18"/>
        <v>24000</v>
      </c>
      <c r="H21" s="672">
        <f t="shared" si="19"/>
        <v>3.896103896103896E-2</v>
      </c>
      <c r="I21" s="666">
        <v>3850</v>
      </c>
      <c r="J21" s="700">
        <f t="shared" si="20"/>
        <v>23100</v>
      </c>
      <c r="K21" s="668">
        <f t="shared" si="21"/>
        <v>0</v>
      </c>
      <c r="L21" s="669">
        <v>3850</v>
      </c>
      <c r="M21" s="700">
        <f t="shared" si="22"/>
        <v>23100</v>
      </c>
      <c r="N21" s="668">
        <f t="shared" si="23"/>
        <v>6.9444444444444448E-2</v>
      </c>
      <c r="O21" s="701">
        <v>3600</v>
      </c>
      <c r="P21" s="671">
        <v>21600</v>
      </c>
      <c r="Q21" s="126"/>
      <c r="R21" s="118"/>
      <c r="S21" s="126"/>
      <c r="T21" s="126"/>
      <c r="U21" s="126"/>
      <c r="V21" s="126"/>
      <c r="W21" s="118"/>
      <c r="X21" s="118"/>
      <c r="Y21" s="118"/>
      <c r="Z21" s="118"/>
    </row>
    <row r="22" spans="1:26" ht="12" customHeight="1" x14ac:dyDescent="0.35">
      <c r="A22" s="170">
        <f>SUM(A20:A21)</f>
        <v>36452.609235023032</v>
      </c>
      <c r="B22" s="673"/>
      <c r="C22" s="675"/>
      <c r="D22" s="675"/>
      <c r="E22" s="675"/>
      <c r="F22" s="675"/>
      <c r="G22" s="676"/>
      <c r="H22" s="677"/>
      <c r="I22" s="678"/>
      <c r="J22" s="679"/>
      <c r="K22" s="680"/>
      <c r="L22" s="679"/>
      <c r="M22" s="679"/>
      <c r="N22" s="680"/>
      <c r="O22" s="678"/>
      <c r="P22" s="680"/>
      <c r="Q22" s="126"/>
      <c r="R22" s="118"/>
      <c r="S22" s="126"/>
      <c r="T22" s="126"/>
      <c r="U22" s="126"/>
      <c r="V22" s="126"/>
      <c r="W22" s="118"/>
      <c r="X22" s="118"/>
      <c r="Y22" s="118"/>
      <c r="Z22" s="118"/>
    </row>
    <row r="23" spans="1:26" ht="12" customHeight="1" x14ac:dyDescent="0.35">
      <c r="A23" s="681"/>
      <c r="B23" s="658" t="s">
        <v>308</v>
      </c>
      <c r="C23" s="658"/>
      <c r="D23" s="82"/>
      <c r="E23" s="82"/>
      <c r="F23" s="82"/>
      <c r="G23" s="82"/>
      <c r="H23" s="683"/>
      <c r="I23" s="121"/>
      <c r="J23" s="82"/>
      <c r="K23" s="590"/>
      <c r="L23" s="82"/>
      <c r="M23" s="82"/>
      <c r="N23" s="590"/>
      <c r="O23" s="121"/>
      <c r="P23" s="590"/>
      <c r="Q23" s="126"/>
      <c r="R23" s="118"/>
      <c r="S23" s="126"/>
      <c r="T23" s="126"/>
      <c r="U23" s="126"/>
      <c r="V23" s="126"/>
      <c r="W23" s="118"/>
      <c r="X23" s="118"/>
      <c r="Y23" s="118"/>
      <c r="Z23" s="118"/>
    </row>
    <row r="24" spans="1:26" ht="12" customHeight="1" x14ac:dyDescent="0.35">
      <c r="A24" s="696">
        <f>SUM($D24:$E24)*'Progr. konstanter og variabler'!$H11</f>
        <v>1417.0777032258084</v>
      </c>
      <c r="B24" s="702"/>
      <c r="C24" s="686">
        <f>'Progr. konstanter og variabler'!H41</f>
        <v>7286.1796172043014</v>
      </c>
      <c r="D24" s="686">
        <v>250</v>
      </c>
      <c r="E24" s="687">
        <f>C24-D24-F24</f>
        <v>-13.820382795698606</v>
      </c>
      <c r="F24" s="688">
        <f>MROUND(C24-D24,50)</f>
        <v>7050</v>
      </c>
      <c r="G24" s="689" t="s">
        <v>531</v>
      </c>
      <c r="H24" s="672">
        <f>(F24-L24)/L24</f>
        <v>-2.0833333333333332E-2</v>
      </c>
      <c r="I24" s="690">
        <v>7200</v>
      </c>
      <c r="J24" s="703" t="s">
        <v>531</v>
      </c>
      <c r="K24" s="692">
        <f>(I24-L24)/L24</f>
        <v>0</v>
      </c>
      <c r="L24" s="693">
        <v>7200</v>
      </c>
      <c r="M24" s="703" t="s">
        <v>531</v>
      </c>
      <c r="N24" s="692">
        <f>(L24-O24)/O24</f>
        <v>0</v>
      </c>
      <c r="O24" s="699">
        <v>7200</v>
      </c>
      <c r="P24" s="704" t="s">
        <v>531</v>
      </c>
      <c r="Q24" s="126"/>
      <c r="R24" s="118"/>
      <c r="S24" s="126"/>
      <c r="T24" s="126"/>
      <c r="U24" s="126"/>
      <c r="V24" s="126"/>
      <c r="W24" s="118"/>
      <c r="X24" s="118"/>
      <c r="Y24" s="118"/>
      <c r="Z24" s="118"/>
    </row>
    <row r="25" spans="1:26" ht="12" customHeight="1" x14ac:dyDescent="0.3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26"/>
      <c r="L25" s="118"/>
      <c r="M25" s="118"/>
      <c r="N25" s="126"/>
      <c r="O25" s="126"/>
      <c r="P25" s="126"/>
      <c r="Q25" s="126"/>
      <c r="R25" s="126"/>
      <c r="S25" s="126"/>
      <c r="T25" s="126"/>
      <c r="U25" s="126"/>
      <c r="V25" s="126"/>
      <c r="W25" s="118"/>
      <c r="X25" s="118"/>
      <c r="Y25" s="118"/>
      <c r="Z25" s="118"/>
    </row>
    <row r="26" spans="1:26" ht="12" customHeight="1" x14ac:dyDescent="0.3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26"/>
      <c r="L26" s="118"/>
      <c r="M26" s="118"/>
      <c r="N26" s="126"/>
      <c r="O26" s="126"/>
      <c r="P26" s="126"/>
      <c r="Q26" s="126"/>
      <c r="R26" s="126"/>
      <c r="S26" s="126"/>
      <c r="T26" s="126"/>
      <c r="U26" s="126"/>
      <c r="V26" s="126"/>
      <c r="W26" s="118"/>
      <c r="X26" s="118"/>
      <c r="Y26" s="118"/>
      <c r="Z26" s="118"/>
    </row>
    <row r="27" spans="1:26" ht="12" customHeight="1" x14ac:dyDescent="0.35">
      <c r="A27" s="118"/>
      <c r="B27" s="118"/>
      <c r="C27" s="705"/>
      <c r="D27" s="118"/>
      <c r="E27" s="118"/>
      <c r="F27" s="118"/>
      <c r="G27" s="118"/>
      <c r="H27" s="118"/>
      <c r="I27" s="118"/>
      <c r="J27" s="118"/>
      <c r="K27" s="126"/>
      <c r="L27" s="118"/>
      <c r="M27" s="118"/>
      <c r="N27" s="126"/>
      <c r="O27" s="126"/>
      <c r="P27" s="126"/>
      <c r="Q27" s="126"/>
      <c r="R27" s="126"/>
      <c r="S27" s="126"/>
      <c r="T27" s="126"/>
      <c r="U27" s="126"/>
      <c r="V27" s="126"/>
      <c r="W27" s="118"/>
      <c r="X27" s="118"/>
      <c r="Y27" s="118"/>
      <c r="Z27" s="118"/>
    </row>
    <row r="28" spans="1:26" ht="12" customHeight="1" x14ac:dyDescent="0.35">
      <c r="A28" s="118"/>
      <c r="B28" s="118"/>
      <c r="C28" s="705"/>
      <c r="D28" s="118"/>
      <c r="E28" s="118"/>
      <c r="F28" s="118"/>
      <c r="G28" s="118"/>
      <c r="H28" s="118"/>
      <c r="I28" s="118"/>
      <c r="J28" s="118"/>
      <c r="K28" s="126"/>
      <c r="L28" s="118"/>
      <c r="M28" s="118"/>
      <c r="N28" s="126"/>
      <c r="O28" s="126"/>
      <c r="P28" s="126"/>
      <c r="Q28" s="126"/>
      <c r="R28" s="126"/>
      <c r="S28" s="126"/>
      <c r="T28" s="126"/>
      <c r="U28" s="126"/>
      <c r="V28" s="126"/>
      <c r="W28" s="118"/>
      <c r="X28" s="118"/>
      <c r="Y28" s="118"/>
      <c r="Z28" s="118"/>
    </row>
    <row r="29" spans="1:26" ht="12" customHeight="1" x14ac:dyDescent="0.35">
      <c r="A29" s="118"/>
      <c r="B29" s="118"/>
      <c r="C29" s="705"/>
      <c r="D29" s="706"/>
      <c r="E29" s="118"/>
      <c r="F29" s="118"/>
      <c r="G29" s="118"/>
      <c r="H29" s="118"/>
      <c r="I29" s="118"/>
      <c r="J29" s="118"/>
      <c r="K29" s="126"/>
      <c r="L29" s="118"/>
      <c r="M29" s="118"/>
      <c r="N29" s="126"/>
      <c r="O29" s="126"/>
      <c r="P29" s="126"/>
      <c r="Q29" s="126"/>
      <c r="R29" s="126"/>
      <c r="S29" s="126"/>
      <c r="T29" s="126"/>
      <c r="U29" s="126"/>
      <c r="V29" s="126"/>
      <c r="W29" s="118"/>
      <c r="X29" s="118"/>
      <c r="Y29" s="118"/>
      <c r="Z29" s="118"/>
    </row>
    <row r="30" spans="1:26" ht="12" customHeight="1" x14ac:dyDescent="0.35">
      <c r="A30" s="118"/>
      <c r="B30" s="118"/>
      <c r="C30" s="705"/>
      <c r="D30" s="118"/>
      <c r="E30" s="118"/>
      <c r="F30" s="118"/>
      <c r="G30" s="118"/>
      <c r="H30" s="118"/>
      <c r="I30" s="118"/>
      <c r="J30" s="118"/>
      <c r="K30" s="126"/>
      <c r="L30" s="118"/>
      <c r="M30" s="118"/>
      <c r="N30" s="126"/>
      <c r="O30" s="126"/>
      <c r="P30" s="126"/>
      <c r="Q30" s="126"/>
      <c r="R30" s="126"/>
      <c r="S30" s="126"/>
      <c r="T30" s="126"/>
      <c r="U30" s="126"/>
      <c r="V30" s="126"/>
      <c r="W30" s="118"/>
      <c r="X30" s="118"/>
      <c r="Y30" s="118"/>
      <c r="Z30" s="118"/>
    </row>
    <row r="31" spans="1:26" ht="12" customHeight="1" x14ac:dyDescent="0.3">
      <c r="A31" s="118"/>
      <c r="G31" s="118"/>
      <c r="H31" s="118"/>
      <c r="I31" s="118"/>
      <c r="J31" s="118"/>
      <c r="K31" s="118"/>
      <c r="L31" s="118"/>
      <c r="M31" s="118"/>
    </row>
    <row r="32" spans="1:26" ht="12" customHeight="1" x14ac:dyDescent="0.3">
      <c r="A32" s="118"/>
      <c r="G32" s="118"/>
      <c r="H32" s="118"/>
      <c r="I32" s="118"/>
      <c r="J32" s="118"/>
      <c r="K32" s="118"/>
      <c r="L32" s="118"/>
      <c r="M32" s="118"/>
    </row>
    <row r="33" spans="1:13" ht="12" customHeight="1" x14ac:dyDescent="0.3">
      <c r="A33" s="118"/>
      <c r="G33" s="118"/>
      <c r="H33" s="118"/>
      <c r="I33" s="118"/>
      <c r="J33" s="118"/>
      <c r="K33" s="118"/>
      <c r="L33" s="118"/>
      <c r="M33" s="118"/>
    </row>
    <row r="34" spans="1:13" ht="12" customHeight="1" x14ac:dyDescent="0.3">
      <c r="A34" s="118"/>
      <c r="G34" s="118"/>
      <c r="H34" s="118"/>
      <c r="I34" s="118"/>
      <c r="J34" s="118"/>
      <c r="K34" s="118"/>
      <c r="L34" s="118"/>
      <c r="M34" s="118"/>
    </row>
    <row r="35" spans="1:13" ht="12" customHeight="1" x14ac:dyDescent="0.3">
      <c r="A35" s="118"/>
      <c r="G35" s="118"/>
      <c r="H35" s="118"/>
      <c r="I35" s="118"/>
      <c r="J35" s="118"/>
      <c r="K35" s="118"/>
      <c r="L35" s="118"/>
      <c r="M35" s="118"/>
    </row>
    <row r="36" spans="1:13" ht="12" customHeight="1" x14ac:dyDescent="0.3">
      <c r="A36" s="118"/>
      <c r="G36" s="118"/>
      <c r="H36" s="118"/>
      <c r="I36" s="118"/>
      <c r="J36" s="118"/>
      <c r="K36" s="118"/>
      <c r="L36" s="118"/>
      <c r="M36" s="118"/>
    </row>
    <row r="37" spans="1:13" ht="12" customHeight="1" x14ac:dyDescent="0.3">
      <c r="A37" s="118"/>
      <c r="G37" s="118"/>
      <c r="H37" s="118"/>
      <c r="I37" s="118"/>
      <c r="J37" s="118"/>
      <c r="K37" s="118"/>
      <c r="L37" s="118"/>
      <c r="M37" s="118"/>
    </row>
    <row r="38" spans="1:13" ht="12" customHeight="1" x14ac:dyDescent="0.3">
      <c r="A38" s="118"/>
      <c r="G38" s="118"/>
      <c r="H38" s="118"/>
      <c r="I38" s="118"/>
      <c r="J38" s="118"/>
      <c r="K38" s="118"/>
      <c r="L38" s="118"/>
      <c r="M38" s="118"/>
    </row>
    <row r="39" spans="1:13" ht="12" customHeight="1" x14ac:dyDescent="0.3">
      <c r="A39" s="118"/>
      <c r="G39" s="118"/>
      <c r="H39" s="118"/>
      <c r="I39" s="118"/>
      <c r="J39" s="118"/>
      <c r="K39" s="118"/>
      <c r="L39" s="118"/>
      <c r="M39" s="118"/>
    </row>
    <row r="40" spans="1:13" ht="12" customHeight="1" x14ac:dyDescent="0.3">
      <c r="A40" s="118"/>
      <c r="G40" s="118"/>
      <c r="H40" s="118"/>
      <c r="I40" s="118"/>
      <c r="J40" s="118"/>
      <c r="K40" s="118"/>
      <c r="L40" s="118"/>
      <c r="M40" s="118"/>
    </row>
    <row r="41" spans="1:13" ht="12" customHeight="1" x14ac:dyDescent="0.3">
      <c r="A41" s="118"/>
      <c r="G41" s="118"/>
      <c r="H41" s="118"/>
      <c r="I41" s="118"/>
      <c r="J41" s="118"/>
      <c r="K41" s="118"/>
      <c r="L41" s="118"/>
      <c r="M41" s="118"/>
    </row>
    <row r="42" spans="1:13" ht="12" customHeight="1" x14ac:dyDescent="0.3">
      <c r="A42" s="118"/>
      <c r="G42" s="118"/>
      <c r="H42" s="118"/>
      <c r="I42" s="118"/>
      <c r="J42" s="118"/>
      <c r="K42" s="118"/>
      <c r="L42" s="118"/>
      <c r="M42" s="118"/>
    </row>
    <row r="43" spans="1:13" ht="12" customHeight="1" x14ac:dyDescent="0.3">
      <c r="A43" s="118"/>
      <c r="G43" s="118"/>
      <c r="H43" s="118"/>
      <c r="I43" s="118"/>
      <c r="J43" s="118"/>
      <c r="K43" s="118"/>
      <c r="L43" s="118"/>
      <c r="M43" s="118"/>
    </row>
    <row r="44" spans="1:13" ht="12" customHeight="1" x14ac:dyDescent="0.3">
      <c r="A44" s="118"/>
      <c r="G44" s="118"/>
      <c r="H44" s="118"/>
      <c r="I44" s="118"/>
      <c r="J44" s="118"/>
      <c r="K44" s="118"/>
      <c r="L44" s="118"/>
      <c r="M44" s="118"/>
    </row>
    <row r="45" spans="1:13" ht="12" customHeight="1" x14ac:dyDescent="0.3">
      <c r="A45" s="118"/>
      <c r="G45" s="118"/>
      <c r="H45" s="118"/>
      <c r="I45" s="118"/>
      <c r="J45" s="118"/>
      <c r="K45" s="118"/>
      <c r="L45" s="118"/>
      <c r="M45" s="118"/>
    </row>
    <row r="46" spans="1:13" ht="12" customHeight="1" x14ac:dyDescent="0.3">
      <c r="A46" s="118"/>
      <c r="G46" s="118"/>
      <c r="H46" s="118"/>
      <c r="I46" s="118"/>
      <c r="J46" s="118"/>
      <c r="K46" s="118"/>
      <c r="L46" s="118"/>
      <c r="M46" s="118"/>
    </row>
    <row r="47" spans="1:13" ht="12" customHeight="1" x14ac:dyDescent="0.3">
      <c r="A47" s="118"/>
      <c r="G47" s="118"/>
      <c r="H47" s="118"/>
      <c r="I47" s="118"/>
      <c r="J47" s="118"/>
      <c r="K47" s="118"/>
      <c r="L47" s="118"/>
      <c r="M47" s="118"/>
    </row>
    <row r="48" spans="1:13" ht="12" customHeight="1" x14ac:dyDescent="0.3">
      <c r="A48" s="118"/>
      <c r="G48" s="118"/>
      <c r="H48" s="118"/>
      <c r="I48" s="118"/>
      <c r="J48" s="118"/>
      <c r="K48" s="118"/>
      <c r="L48" s="118"/>
      <c r="M48" s="118"/>
    </row>
    <row r="49" spans="1:13" ht="12" customHeight="1" x14ac:dyDescent="0.3">
      <c r="A49" s="118"/>
      <c r="G49" s="118"/>
      <c r="H49" s="118"/>
      <c r="I49" s="118"/>
      <c r="J49" s="118"/>
      <c r="K49" s="118"/>
      <c r="L49" s="118"/>
      <c r="M49" s="118"/>
    </row>
    <row r="50" spans="1:13" ht="12" customHeight="1" x14ac:dyDescent="0.3">
      <c r="A50" s="118"/>
      <c r="G50" s="118"/>
      <c r="H50" s="118"/>
      <c r="I50" s="118"/>
      <c r="J50" s="118"/>
      <c r="K50" s="118"/>
      <c r="L50" s="118"/>
      <c r="M50" s="118"/>
    </row>
    <row r="51" spans="1:13" ht="12" customHeight="1" x14ac:dyDescent="0.3">
      <c r="A51" s="118"/>
      <c r="G51" s="118"/>
      <c r="H51" s="118"/>
      <c r="I51" s="118"/>
      <c r="J51" s="118"/>
      <c r="K51" s="118"/>
      <c r="L51" s="118"/>
      <c r="M51" s="118"/>
    </row>
    <row r="52" spans="1:13" ht="12" customHeight="1" x14ac:dyDescent="0.3">
      <c r="A52" s="118"/>
      <c r="G52" s="118"/>
      <c r="H52" s="118"/>
      <c r="I52" s="118"/>
      <c r="J52" s="118"/>
      <c r="K52" s="118"/>
      <c r="L52" s="118"/>
      <c r="M52" s="118"/>
    </row>
    <row r="53" spans="1:13" ht="12" customHeight="1" x14ac:dyDescent="0.3">
      <c r="A53" s="118"/>
      <c r="G53" s="118"/>
      <c r="H53" s="118"/>
      <c r="I53" s="118"/>
      <c r="J53" s="118"/>
      <c r="K53" s="118"/>
      <c r="L53" s="118"/>
      <c r="M53" s="118"/>
    </row>
    <row r="54" spans="1:13" ht="12" customHeight="1" x14ac:dyDescent="0.3">
      <c r="A54" s="118"/>
      <c r="G54" s="118"/>
      <c r="H54" s="118"/>
      <c r="I54" s="118"/>
      <c r="J54" s="118"/>
      <c r="K54" s="118"/>
      <c r="L54" s="118"/>
      <c r="M54" s="118"/>
    </row>
    <row r="55" spans="1:13" ht="12" customHeight="1" x14ac:dyDescent="0.3">
      <c r="A55" s="118"/>
      <c r="G55" s="118"/>
      <c r="H55" s="118"/>
      <c r="I55" s="118"/>
      <c r="J55" s="118"/>
      <c r="K55" s="118"/>
      <c r="L55" s="118"/>
      <c r="M55" s="118"/>
    </row>
    <row r="56" spans="1:13" ht="12" customHeight="1" x14ac:dyDescent="0.3">
      <c r="A56" s="118"/>
      <c r="G56" s="118"/>
      <c r="H56" s="118"/>
      <c r="I56" s="118"/>
      <c r="J56" s="118"/>
      <c r="K56" s="118"/>
      <c r="L56" s="118"/>
      <c r="M56" s="118"/>
    </row>
    <row r="57" spans="1:13" ht="12" customHeight="1" x14ac:dyDescent="0.3">
      <c r="A57" s="118"/>
      <c r="G57" s="118"/>
      <c r="H57" s="118"/>
      <c r="I57" s="118"/>
      <c r="J57" s="118"/>
      <c r="K57" s="118"/>
      <c r="L57" s="118"/>
      <c r="M57" s="118"/>
    </row>
    <row r="58" spans="1:13" ht="12" customHeight="1" x14ac:dyDescent="0.3">
      <c r="A58" s="118"/>
      <c r="G58" s="118"/>
      <c r="H58" s="118"/>
      <c r="I58" s="118"/>
      <c r="J58" s="118"/>
      <c r="K58" s="118"/>
      <c r="L58" s="118"/>
      <c r="M58" s="118"/>
    </row>
    <row r="59" spans="1:13" ht="12" customHeight="1" x14ac:dyDescent="0.3">
      <c r="A59" s="118"/>
      <c r="G59" s="118"/>
      <c r="H59" s="118"/>
      <c r="I59" s="118"/>
      <c r="J59" s="118"/>
      <c r="K59" s="118"/>
      <c r="L59" s="118"/>
      <c r="M59" s="118"/>
    </row>
    <row r="60" spans="1:13" ht="12" customHeight="1" x14ac:dyDescent="0.3">
      <c r="A60" s="118"/>
      <c r="G60" s="118"/>
      <c r="H60" s="118"/>
      <c r="I60" s="118"/>
      <c r="J60" s="118"/>
      <c r="K60" s="118"/>
      <c r="L60" s="118"/>
      <c r="M60" s="118"/>
    </row>
    <row r="61" spans="1:13" ht="12" customHeight="1" x14ac:dyDescent="0.3">
      <c r="A61" s="118"/>
      <c r="G61" s="118"/>
      <c r="H61" s="118"/>
      <c r="I61" s="118"/>
      <c r="J61" s="118"/>
      <c r="K61" s="118"/>
      <c r="L61" s="118"/>
      <c r="M61" s="118"/>
    </row>
    <row r="62" spans="1:13" ht="12" customHeight="1" x14ac:dyDescent="0.3">
      <c r="A62" s="118"/>
      <c r="G62" s="118"/>
      <c r="H62" s="118"/>
      <c r="I62" s="118"/>
      <c r="J62" s="118"/>
      <c r="K62" s="118"/>
      <c r="L62" s="118"/>
      <c r="M62" s="118"/>
    </row>
    <row r="63" spans="1:13" ht="12" customHeight="1" x14ac:dyDescent="0.3">
      <c r="A63" s="118"/>
      <c r="G63" s="118"/>
      <c r="H63" s="118"/>
      <c r="I63" s="118"/>
      <c r="J63" s="118"/>
      <c r="K63" s="118"/>
      <c r="L63" s="118"/>
      <c r="M63" s="118"/>
    </row>
    <row r="64" spans="1:13" ht="12" customHeight="1" x14ac:dyDescent="0.3">
      <c r="A64" s="118"/>
      <c r="G64" s="118"/>
      <c r="H64" s="118"/>
      <c r="I64" s="118"/>
      <c r="J64" s="118"/>
      <c r="K64" s="118"/>
      <c r="L64" s="118"/>
      <c r="M64" s="118"/>
    </row>
    <row r="65" spans="1:13" ht="12" customHeight="1" x14ac:dyDescent="0.3">
      <c r="A65" s="118"/>
      <c r="G65" s="118"/>
      <c r="H65" s="118"/>
      <c r="I65" s="118"/>
      <c r="J65" s="118"/>
      <c r="K65" s="118"/>
      <c r="L65" s="118"/>
      <c r="M65" s="118"/>
    </row>
    <row r="66" spans="1:13" ht="12" customHeight="1" x14ac:dyDescent="0.3">
      <c r="A66" s="118"/>
      <c r="G66" s="118"/>
      <c r="H66" s="118"/>
      <c r="I66" s="118"/>
      <c r="J66" s="118"/>
      <c r="K66" s="118"/>
      <c r="L66" s="118"/>
      <c r="M66" s="118"/>
    </row>
    <row r="67" spans="1:13" ht="12" customHeight="1" x14ac:dyDescent="0.3">
      <c r="A67" s="118"/>
      <c r="G67" s="118"/>
      <c r="H67" s="118"/>
      <c r="I67" s="118"/>
      <c r="J67" s="118"/>
      <c r="K67" s="118"/>
      <c r="L67" s="118"/>
      <c r="M67" s="118"/>
    </row>
    <row r="68" spans="1:13" ht="12" customHeight="1" x14ac:dyDescent="0.3">
      <c r="A68" s="118"/>
      <c r="G68" s="118"/>
      <c r="H68" s="118"/>
      <c r="I68" s="118"/>
      <c r="J68" s="118"/>
      <c r="K68" s="118"/>
      <c r="L68" s="118"/>
      <c r="M68" s="118"/>
    </row>
    <row r="69" spans="1:13" ht="12" customHeight="1" x14ac:dyDescent="0.3">
      <c r="A69" s="118"/>
      <c r="G69" s="118"/>
      <c r="H69" s="118"/>
      <c r="I69" s="118"/>
      <c r="J69" s="118"/>
      <c r="K69" s="118"/>
      <c r="L69" s="118"/>
      <c r="M69" s="118"/>
    </row>
    <row r="70" spans="1:13" ht="12" customHeight="1" x14ac:dyDescent="0.3">
      <c r="A70" s="118"/>
      <c r="G70" s="118"/>
      <c r="H70" s="118"/>
      <c r="I70" s="118"/>
      <c r="J70" s="118"/>
      <c r="K70" s="118"/>
      <c r="L70" s="118"/>
      <c r="M70" s="118"/>
    </row>
    <row r="71" spans="1:13" ht="12" customHeight="1" x14ac:dyDescent="0.3">
      <c r="A71" s="118"/>
      <c r="G71" s="118"/>
      <c r="H71" s="118"/>
      <c r="I71" s="118"/>
      <c r="J71" s="118"/>
      <c r="K71" s="118"/>
      <c r="L71" s="118"/>
      <c r="M71" s="118"/>
    </row>
    <row r="72" spans="1:13" ht="12" customHeight="1" x14ac:dyDescent="0.3">
      <c r="A72" s="118"/>
      <c r="G72" s="118"/>
      <c r="H72" s="118"/>
      <c r="I72" s="118"/>
      <c r="J72" s="118"/>
      <c r="K72" s="118"/>
      <c r="L72" s="118"/>
      <c r="M72" s="118"/>
    </row>
    <row r="73" spans="1:13" ht="12" customHeight="1" x14ac:dyDescent="0.3">
      <c r="A73" s="118"/>
      <c r="G73" s="118"/>
      <c r="H73" s="118"/>
      <c r="I73" s="118"/>
      <c r="J73" s="118"/>
      <c r="K73" s="118"/>
      <c r="L73" s="118"/>
      <c r="M73" s="118"/>
    </row>
    <row r="74" spans="1:13" ht="12" customHeight="1" x14ac:dyDescent="0.3">
      <c r="A74" s="118"/>
      <c r="G74" s="118"/>
      <c r="H74" s="118"/>
      <c r="I74" s="118"/>
      <c r="J74" s="118"/>
      <c r="K74" s="118"/>
      <c r="L74" s="118"/>
      <c r="M74" s="118"/>
    </row>
    <row r="75" spans="1:13" ht="12" customHeight="1" x14ac:dyDescent="0.3">
      <c r="A75" s="118"/>
      <c r="G75" s="118"/>
      <c r="H75" s="118"/>
      <c r="I75" s="118"/>
      <c r="J75" s="118"/>
      <c r="K75" s="118"/>
      <c r="L75" s="118"/>
      <c r="M75" s="118"/>
    </row>
    <row r="76" spans="1:13" ht="12" customHeight="1" x14ac:dyDescent="0.3">
      <c r="A76" s="118"/>
      <c r="G76" s="118"/>
      <c r="H76" s="118"/>
      <c r="I76" s="118"/>
      <c r="J76" s="118"/>
      <c r="K76" s="118"/>
      <c r="L76" s="118"/>
      <c r="M76" s="118"/>
    </row>
    <row r="77" spans="1:13" ht="12" customHeight="1" x14ac:dyDescent="0.3">
      <c r="A77" s="118"/>
      <c r="G77" s="118"/>
      <c r="H77" s="118"/>
      <c r="I77" s="118"/>
      <c r="J77" s="118"/>
      <c r="K77" s="118"/>
      <c r="L77" s="118"/>
      <c r="M77" s="118"/>
    </row>
    <row r="78" spans="1:13" ht="12" customHeight="1" x14ac:dyDescent="0.3">
      <c r="A78" s="118"/>
      <c r="G78" s="118"/>
      <c r="H78" s="118"/>
      <c r="I78" s="118"/>
      <c r="J78" s="118"/>
      <c r="K78" s="118"/>
      <c r="L78" s="118"/>
      <c r="M78" s="118"/>
    </row>
    <row r="79" spans="1:13" ht="12" customHeight="1" x14ac:dyDescent="0.3">
      <c r="A79" s="118"/>
      <c r="G79" s="118"/>
      <c r="H79" s="118"/>
      <c r="I79" s="118"/>
      <c r="J79" s="118"/>
      <c r="K79" s="118"/>
      <c r="L79" s="118"/>
      <c r="M79" s="118"/>
    </row>
    <row r="80" spans="1:13" ht="12" customHeight="1" x14ac:dyDescent="0.3">
      <c r="A80" s="118"/>
      <c r="G80" s="118"/>
      <c r="H80" s="118"/>
      <c r="I80" s="118"/>
      <c r="J80" s="118"/>
      <c r="K80" s="118"/>
      <c r="L80" s="118"/>
      <c r="M80" s="118"/>
    </row>
    <row r="81" spans="1:13" ht="12" customHeight="1" x14ac:dyDescent="0.3">
      <c r="A81" s="118"/>
      <c r="G81" s="118"/>
      <c r="H81" s="118"/>
      <c r="I81" s="118"/>
      <c r="J81" s="118"/>
      <c r="K81" s="118"/>
      <c r="L81" s="118"/>
      <c r="M81" s="118"/>
    </row>
    <row r="82" spans="1:13" ht="12" customHeight="1" x14ac:dyDescent="0.3">
      <c r="A82" s="118"/>
      <c r="G82" s="118"/>
      <c r="H82" s="118"/>
      <c r="I82" s="118"/>
      <c r="J82" s="118"/>
      <c r="K82" s="118"/>
      <c r="L82" s="118"/>
      <c r="M82" s="118"/>
    </row>
    <row r="83" spans="1:13" ht="12" customHeight="1" x14ac:dyDescent="0.3">
      <c r="A83" s="118"/>
      <c r="G83" s="118"/>
      <c r="H83" s="118"/>
      <c r="I83" s="118"/>
      <c r="J83" s="118"/>
      <c r="K83" s="118"/>
      <c r="L83" s="118"/>
      <c r="M83" s="118"/>
    </row>
    <row r="84" spans="1:13" ht="12" customHeight="1" x14ac:dyDescent="0.3">
      <c r="A84" s="118"/>
      <c r="G84" s="118"/>
      <c r="H84" s="118"/>
      <c r="I84" s="118"/>
      <c r="J84" s="118"/>
      <c r="K84" s="118"/>
      <c r="L84" s="118"/>
      <c r="M84" s="118"/>
    </row>
    <row r="85" spans="1:13" ht="12" customHeight="1" x14ac:dyDescent="0.3">
      <c r="A85" s="118"/>
      <c r="G85" s="118"/>
      <c r="H85" s="118"/>
      <c r="I85" s="118"/>
      <c r="J85" s="118"/>
      <c r="K85" s="118"/>
      <c r="L85" s="118"/>
      <c r="M85" s="118"/>
    </row>
    <row r="86" spans="1:13" ht="12" customHeight="1" x14ac:dyDescent="0.3">
      <c r="A86" s="118"/>
      <c r="G86" s="118"/>
      <c r="H86" s="118"/>
      <c r="I86" s="118"/>
      <c r="J86" s="118"/>
      <c r="K86" s="118"/>
      <c r="L86" s="118"/>
      <c r="M86" s="118"/>
    </row>
    <row r="87" spans="1:13" ht="12" customHeight="1" x14ac:dyDescent="0.3">
      <c r="A87" s="118"/>
      <c r="G87" s="118"/>
      <c r="H87" s="118"/>
      <c r="I87" s="118"/>
      <c r="J87" s="118"/>
      <c r="K87" s="118"/>
      <c r="L87" s="118"/>
      <c r="M87" s="118"/>
    </row>
    <row r="88" spans="1:13" ht="12" customHeight="1" x14ac:dyDescent="0.3">
      <c r="A88" s="118"/>
      <c r="G88" s="118"/>
      <c r="H88" s="118"/>
      <c r="I88" s="118"/>
      <c r="J88" s="118"/>
      <c r="K88" s="118"/>
      <c r="L88" s="118"/>
      <c r="M88" s="118"/>
    </row>
    <row r="89" spans="1:13" ht="12" customHeight="1" x14ac:dyDescent="0.3">
      <c r="A89" s="118"/>
      <c r="G89" s="118"/>
      <c r="H89" s="118"/>
      <c r="I89" s="118"/>
      <c r="J89" s="118"/>
      <c r="K89" s="118"/>
      <c r="L89" s="118"/>
      <c r="M89" s="118"/>
    </row>
    <row r="90" spans="1:13" ht="12" customHeight="1" x14ac:dyDescent="0.3">
      <c r="A90" s="118"/>
      <c r="G90" s="118"/>
      <c r="H90" s="118"/>
      <c r="I90" s="118"/>
      <c r="J90" s="118"/>
      <c r="K90" s="118"/>
      <c r="L90" s="118"/>
      <c r="M90" s="118"/>
    </row>
    <row r="91" spans="1:13" ht="12" customHeight="1" x14ac:dyDescent="0.3">
      <c r="A91" s="118"/>
      <c r="G91" s="118"/>
      <c r="H91" s="118"/>
      <c r="I91" s="118"/>
      <c r="J91" s="118"/>
      <c r="K91" s="118"/>
      <c r="L91" s="118"/>
      <c r="M91" s="118"/>
    </row>
    <row r="92" spans="1:13" ht="12" customHeight="1" x14ac:dyDescent="0.3">
      <c r="A92" s="118"/>
      <c r="G92" s="118"/>
      <c r="H92" s="118"/>
      <c r="I92" s="118"/>
      <c r="J92" s="118"/>
      <c r="K92" s="118"/>
      <c r="L92" s="118"/>
      <c r="M92" s="118"/>
    </row>
    <row r="93" spans="1:13" ht="12" customHeight="1" x14ac:dyDescent="0.3">
      <c r="A93" s="118"/>
      <c r="G93" s="118"/>
      <c r="H93" s="118"/>
      <c r="I93" s="118"/>
      <c r="J93" s="118"/>
      <c r="K93" s="118"/>
      <c r="L93" s="118"/>
      <c r="M93" s="118"/>
    </row>
    <row r="94" spans="1:13" ht="12" customHeight="1" x14ac:dyDescent="0.3">
      <c r="A94" s="118"/>
      <c r="G94" s="118"/>
      <c r="H94" s="118"/>
      <c r="I94" s="118"/>
      <c r="J94" s="118"/>
      <c r="K94" s="118"/>
      <c r="L94" s="118"/>
      <c r="M94" s="118"/>
    </row>
    <row r="95" spans="1:13" ht="12" customHeight="1" x14ac:dyDescent="0.3">
      <c r="A95" s="118"/>
      <c r="G95" s="118"/>
      <c r="H95" s="118"/>
      <c r="I95" s="118"/>
      <c r="J95" s="118"/>
      <c r="K95" s="118"/>
      <c r="L95" s="118"/>
      <c r="M95" s="118"/>
    </row>
    <row r="96" spans="1:13" ht="12" customHeight="1" x14ac:dyDescent="0.3">
      <c r="A96" s="118"/>
      <c r="G96" s="118"/>
      <c r="H96" s="118"/>
      <c r="I96" s="118"/>
      <c r="J96" s="118"/>
      <c r="K96" s="118"/>
      <c r="L96" s="118"/>
      <c r="M96" s="118"/>
    </row>
    <row r="97" spans="1:13" ht="12" customHeight="1" x14ac:dyDescent="0.3">
      <c r="A97" s="118"/>
      <c r="G97" s="118"/>
      <c r="H97" s="118"/>
      <c r="I97" s="118"/>
      <c r="J97" s="118"/>
      <c r="K97" s="118"/>
      <c r="L97" s="118"/>
      <c r="M97" s="118"/>
    </row>
    <row r="98" spans="1:13" ht="12" customHeight="1" x14ac:dyDescent="0.3">
      <c r="A98" s="118"/>
      <c r="G98" s="118"/>
      <c r="H98" s="118"/>
      <c r="I98" s="118"/>
      <c r="J98" s="118"/>
      <c r="K98" s="118"/>
      <c r="L98" s="118"/>
      <c r="M98" s="118"/>
    </row>
    <row r="99" spans="1:13" ht="12" customHeight="1" x14ac:dyDescent="0.3">
      <c r="A99" s="118"/>
      <c r="G99" s="118"/>
      <c r="H99" s="118"/>
      <c r="I99" s="118"/>
      <c r="J99" s="118"/>
      <c r="K99" s="118"/>
      <c r="L99" s="118"/>
      <c r="M99" s="118"/>
    </row>
    <row r="100" spans="1:13" ht="12" customHeight="1" x14ac:dyDescent="0.3">
      <c r="A100" s="118"/>
      <c r="G100" s="118"/>
      <c r="H100" s="118"/>
      <c r="I100" s="118"/>
      <c r="J100" s="118"/>
      <c r="K100" s="118"/>
      <c r="L100" s="118"/>
      <c r="M100" s="118"/>
    </row>
    <row r="101" spans="1:13" ht="12" customHeight="1" x14ac:dyDescent="0.3">
      <c r="A101" s="118"/>
      <c r="G101" s="118"/>
      <c r="H101" s="118"/>
      <c r="I101" s="118"/>
      <c r="J101" s="118"/>
      <c r="K101" s="118"/>
      <c r="L101" s="118"/>
      <c r="M101" s="118"/>
    </row>
    <row r="102" spans="1:13" ht="12" customHeight="1" x14ac:dyDescent="0.3">
      <c r="A102" s="118"/>
      <c r="G102" s="118"/>
      <c r="H102" s="118"/>
      <c r="I102" s="118"/>
      <c r="J102" s="118"/>
      <c r="K102" s="118"/>
      <c r="L102" s="118"/>
      <c r="M102" s="118"/>
    </row>
    <row r="103" spans="1:13" ht="12" customHeight="1" x14ac:dyDescent="0.3">
      <c r="A103" s="118"/>
      <c r="G103" s="118"/>
      <c r="H103" s="118"/>
      <c r="I103" s="118"/>
      <c r="J103" s="118"/>
      <c r="K103" s="118"/>
      <c r="L103" s="118"/>
      <c r="M103" s="118"/>
    </row>
    <row r="104" spans="1:13" ht="12" customHeight="1" x14ac:dyDescent="0.3">
      <c r="A104" s="118"/>
      <c r="G104" s="118"/>
      <c r="H104" s="118"/>
      <c r="I104" s="118"/>
      <c r="J104" s="118"/>
      <c r="K104" s="118"/>
      <c r="L104" s="118"/>
      <c r="M104" s="118"/>
    </row>
    <row r="105" spans="1:13" ht="12" customHeight="1" x14ac:dyDescent="0.3">
      <c r="A105" s="118"/>
      <c r="G105" s="118"/>
      <c r="H105" s="118"/>
      <c r="I105" s="118"/>
      <c r="J105" s="118"/>
      <c r="K105" s="118"/>
      <c r="L105" s="118"/>
      <c r="M105" s="118"/>
    </row>
    <row r="106" spans="1:13" ht="12" customHeight="1" x14ac:dyDescent="0.3">
      <c r="A106" s="118"/>
      <c r="G106" s="118"/>
      <c r="H106" s="118"/>
      <c r="I106" s="118"/>
      <c r="J106" s="118"/>
      <c r="K106" s="118"/>
      <c r="L106" s="118"/>
      <c r="M106" s="118"/>
    </row>
    <row r="107" spans="1:13" ht="12" customHeight="1" x14ac:dyDescent="0.3">
      <c r="A107" s="118"/>
      <c r="G107" s="118"/>
      <c r="H107" s="118"/>
      <c r="I107" s="118"/>
      <c r="J107" s="118"/>
      <c r="K107" s="118"/>
      <c r="L107" s="118"/>
      <c r="M107" s="118"/>
    </row>
    <row r="108" spans="1:13" ht="12" customHeight="1" x14ac:dyDescent="0.3">
      <c r="A108" s="118"/>
      <c r="G108" s="118"/>
      <c r="H108" s="118"/>
      <c r="I108" s="118"/>
      <c r="J108" s="118"/>
      <c r="K108" s="118"/>
      <c r="L108" s="118"/>
      <c r="M108" s="118"/>
    </row>
    <row r="109" spans="1:13" ht="12" customHeight="1" x14ac:dyDescent="0.3">
      <c r="A109" s="118"/>
      <c r="G109" s="118"/>
      <c r="H109" s="118"/>
      <c r="I109" s="118"/>
      <c r="J109" s="118"/>
      <c r="K109" s="118"/>
      <c r="L109" s="118"/>
      <c r="M109" s="118"/>
    </row>
    <row r="110" spans="1:13" ht="12" customHeight="1" x14ac:dyDescent="0.3">
      <c r="A110" s="118"/>
      <c r="G110" s="118"/>
      <c r="H110" s="118"/>
      <c r="I110" s="118"/>
      <c r="J110" s="118"/>
      <c r="K110" s="118"/>
      <c r="L110" s="118"/>
      <c r="M110" s="118"/>
    </row>
    <row r="111" spans="1:13" ht="12" customHeight="1" x14ac:dyDescent="0.3">
      <c r="A111" s="118"/>
      <c r="G111" s="118"/>
      <c r="H111" s="118"/>
      <c r="I111" s="118"/>
      <c r="J111" s="118"/>
      <c r="K111" s="118"/>
      <c r="L111" s="118"/>
      <c r="M111" s="118"/>
    </row>
    <row r="112" spans="1:13" ht="12" customHeight="1" x14ac:dyDescent="0.3">
      <c r="A112" s="118"/>
      <c r="G112" s="118"/>
      <c r="H112" s="118"/>
      <c r="I112" s="118"/>
      <c r="J112" s="118"/>
      <c r="K112" s="118"/>
      <c r="L112" s="118"/>
      <c r="M112" s="118"/>
    </row>
    <row r="113" spans="1:13" ht="12" customHeight="1" x14ac:dyDescent="0.3">
      <c r="A113" s="118"/>
      <c r="G113" s="118"/>
      <c r="H113" s="118"/>
      <c r="I113" s="118"/>
      <c r="J113" s="118"/>
      <c r="K113" s="118"/>
      <c r="L113" s="118"/>
      <c r="M113" s="118"/>
    </row>
    <row r="114" spans="1:13" ht="12" customHeight="1" x14ac:dyDescent="0.3">
      <c r="A114" s="118"/>
      <c r="G114" s="118"/>
      <c r="H114" s="118"/>
      <c r="I114" s="118"/>
      <c r="J114" s="118"/>
      <c r="K114" s="118"/>
      <c r="L114" s="118"/>
      <c r="M114" s="118"/>
    </row>
    <row r="115" spans="1:13" ht="12" customHeight="1" x14ac:dyDescent="0.3">
      <c r="A115" s="118"/>
      <c r="G115" s="118"/>
      <c r="H115" s="118"/>
      <c r="I115" s="118"/>
      <c r="J115" s="118"/>
      <c r="K115" s="118"/>
      <c r="L115" s="118"/>
      <c r="M115" s="118"/>
    </row>
    <row r="116" spans="1:13" ht="12" customHeight="1" x14ac:dyDescent="0.3">
      <c r="A116" s="118"/>
      <c r="G116" s="118"/>
      <c r="H116" s="118"/>
      <c r="I116" s="118"/>
      <c r="J116" s="118"/>
      <c r="K116" s="118"/>
      <c r="L116" s="118"/>
      <c r="M116" s="118"/>
    </row>
    <row r="117" spans="1:13" ht="12" customHeight="1" x14ac:dyDescent="0.3">
      <c r="A117" s="118"/>
      <c r="G117" s="118"/>
      <c r="H117" s="118"/>
      <c r="I117" s="118"/>
      <c r="J117" s="118"/>
      <c r="K117" s="118"/>
      <c r="L117" s="118"/>
      <c r="M117" s="118"/>
    </row>
    <row r="118" spans="1:13" ht="12" customHeight="1" x14ac:dyDescent="0.3">
      <c r="A118" s="118"/>
      <c r="G118" s="118"/>
      <c r="H118" s="118"/>
      <c r="I118" s="118"/>
      <c r="J118" s="118"/>
      <c r="K118" s="118"/>
      <c r="L118" s="118"/>
      <c r="M118" s="118"/>
    </row>
    <row r="119" spans="1:13" ht="12" customHeight="1" x14ac:dyDescent="0.3">
      <c r="A119" s="118"/>
      <c r="G119" s="118"/>
      <c r="H119" s="118"/>
      <c r="I119" s="118"/>
      <c r="J119" s="118"/>
      <c r="K119" s="118"/>
      <c r="L119" s="118"/>
      <c r="M119" s="118"/>
    </row>
    <row r="120" spans="1:13" ht="12" customHeight="1" x14ac:dyDescent="0.3">
      <c r="A120" s="118"/>
      <c r="G120" s="118"/>
      <c r="H120" s="118"/>
      <c r="I120" s="118"/>
      <c r="J120" s="118"/>
      <c r="K120" s="118"/>
      <c r="L120" s="118"/>
      <c r="M120" s="118"/>
    </row>
    <row r="121" spans="1:13" ht="12" customHeight="1" x14ac:dyDescent="0.3">
      <c r="A121" s="118"/>
      <c r="G121" s="118"/>
      <c r="H121" s="118"/>
      <c r="I121" s="118"/>
      <c r="J121" s="118"/>
      <c r="K121" s="118"/>
      <c r="L121" s="118"/>
      <c r="M121" s="118"/>
    </row>
    <row r="122" spans="1:13" ht="12" customHeight="1" x14ac:dyDescent="0.3">
      <c r="A122" s="118"/>
      <c r="G122" s="118"/>
      <c r="H122" s="118"/>
      <c r="I122" s="118"/>
      <c r="J122" s="118"/>
      <c r="K122" s="118"/>
      <c r="L122" s="118"/>
      <c r="M122" s="118"/>
    </row>
    <row r="123" spans="1:13" ht="12" customHeight="1" x14ac:dyDescent="0.3">
      <c r="A123" s="118"/>
      <c r="G123" s="118"/>
      <c r="H123" s="118"/>
      <c r="I123" s="118"/>
      <c r="J123" s="118"/>
      <c r="K123" s="118"/>
      <c r="L123" s="118"/>
      <c r="M123" s="118"/>
    </row>
    <row r="124" spans="1:13" ht="12" customHeight="1" x14ac:dyDescent="0.3">
      <c r="A124" s="118"/>
      <c r="G124" s="118"/>
      <c r="H124" s="118"/>
      <c r="I124" s="118"/>
      <c r="J124" s="118"/>
      <c r="K124" s="118"/>
      <c r="L124" s="118"/>
      <c r="M124" s="118"/>
    </row>
    <row r="125" spans="1:13" ht="12" customHeight="1" x14ac:dyDescent="0.3">
      <c r="A125" s="118"/>
      <c r="G125" s="118"/>
      <c r="H125" s="118"/>
      <c r="I125" s="118"/>
      <c r="J125" s="118"/>
      <c r="K125" s="118"/>
      <c r="L125" s="118"/>
      <c r="M125" s="118"/>
    </row>
    <row r="126" spans="1:13" ht="12" customHeight="1" x14ac:dyDescent="0.3">
      <c r="A126" s="118"/>
      <c r="G126" s="118"/>
      <c r="H126" s="118"/>
      <c r="I126" s="118"/>
      <c r="J126" s="118"/>
      <c r="K126" s="118"/>
      <c r="L126" s="118"/>
      <c r="M126" s="118"/>
    </row>
    <row r="127" spans="1:13" ht="12" customHeight="1" x14ac:dyDescent="0.3">
      <c r="A127" s="118"/>
      <c r="G127" s="118"/>
      <c r="H127" s="118"/>
      <c r="I127" s="118"/>
      <c r="J127" s="118"/>
      <c r="K127" s="118"/>
      <c r="L127" s="118"/>
      <c r="M127" s="118"/>
    </row>
    <row r="128" spans="1:13" ht="12" customHeight="1" x14ac:dyDescent="0.3">
      <c r="A128" s="118"/>
      <c r="G128" s="118"/>
      <c r="H128" s="118"/>
      <c r="I128" s="118"/>
      <c r="J128" s="118"/>
      <c r="K128" s="118"/>
      <c r="L128" s="118"/>
      <c r="M128" s="118"/>
    </row>
    <row r="129" spans="1:13" ht="12" customHeight="1" x14ac:dyDescent="0.3">
      <c r="A129" s="118"/>
      <c r="G129" s="118"/>
      <c r="H129" s="118"/>
      <c r="I129" s="118"/>
      <c r="J129" s="118"/>
      <c r="K129" s="118"/>
      <c r="L129" s="118"/>
      <c r="M129" s="118"/>
    </row>
    <row r="130" spans="1:13" ht="12" customHeight="1" x14ac:dyDescent="0.3">
      <c r="A130" s="118"/>
      <c r="G130" s="118"/>
      <c r="H130" s="118"/>
      <c r="I130" s="118"/>
      <c r="J130" s="118"/>
      <c r="K130" s="118"/>
      <c r="L130" s="118"/>
      <c r="M130" s="118"/>
    </row>
    <row r="131" spans="1:13" ht="12" customHeight="1" x14ac:dyDescent="0.3">
      <c r="A131" s="118"/>
      <c r="G131" s="118"/>
      <c r="H131" s="118"/>
      <c r="I131" s="118"/>
      <c r="J131" s="118"/>
      <c r="K131" s="118"/>
      <c r="L131" s="118"/>
      <c r="M131" s="118"/>
    </row>
    <row r="132" spans="1:13" ht="12" customHeight="1" x14ac:dyDescent="0.3">
      <c r="A132" s="118"/>
      <c r="G132" s="118"/>
      <c r="H132" s="118"/>
      <c r="I132" s="118"/>
      <c r="J132" s="118"/>
      <c r="K132" s="118"/>
      <c r="L132" s="118"/>
      <c r="M132" s="118"/>
    </row>
    <row r="133" spans="1:13" ht="12" customHeight="1" x14ac:dyDescent="0.3">
      <c r="A133" s="118"/>
      <c r="G133" s="118"/>
      <c r="H133" s="118"/>
      <c r="I133" s="118"/>
      <c r="J133" s="118"/>
      <c r="K133" s="118"/>
      <c r="L133" s="118"/>
      <c r="M133" s="118"/>
    </row>
    <row r="134" spans="1:13" ht="12" customHeight="1" x14ac:dyDescent="0.3">
      <c r="A134" s="118"/>
      <c r="G134" s="118"/>
      <c r="H134" s="118"/>
      <c r="I134" s="118"/>
      <c r="J134" s="118"/>
      <c r="K134" s="118"/>
      <c r="L134" s="118"/>
      <c r="M134" s="118"/>
    </row>
    <row r="135" spans="1:13" ht="12" customHeight="1" x14ac:dyDescent="0.3">
      <c r="A135" s="118"/>
      <c r="G135" s="118"/>
      <c r="H135" s="118"/>
      <c r="I135" s="118"/>
      <c r="J135" s="118"/>
      <c r="K135" s="118"/>
      <c r="L135" s="118"/>
      <c r="M135" s="118"/>
    </row>
    <row r="136" spans="1:13" ht="12" customHeight="1" x14ac:dyDescent="0.3">
      <c r="A136" s="118"/>
      <c r="G136" s="118"/>
      <c r="H136" s="118"/>
      <c r="I136" s="118"/>
      <c r="J136" s="118"/>
      <c r="K136" s="118"/>
      <c r="L136" s="118"/>
      <c r="M136" s="118"/>
    </row>
    <row r="137" spans="1:13" ht="12" customHeight="1" x14ac:dyDescent="0.3">
      <c r="A137" s="118"/>
      <c r="G137" s="118"/>
      <c r="H137" s="118"/>
      <c r="I137" s="118"/>
      <c r="J137" s="118"/>
      <c r="K137" s="118"/>
      <c r="L137" s="118"/>
      <c r="M137" s="118"/>
    </row>
    <row r="138" spans="1:13" ht="12" customHeight="1" x14ac:dyDescent="0.3">
      <c r="A138" s="118"/>
      <c r="G138" s="118"/>
      <c r="H138" s="118"/>
      <c r="I138" s="118"/>
      <c r="J138" s="118"/>
      <c r="K138" s="118"/>
      <c r="L138" s="118"/>
      <c r="M138" s="118"/>
    </row>
    <row r="139" spans="1:13" ht="12" customHeight="1" x14ac:dyDescent="0.3">
      <c r="A139" s="118"/>
      <c r="G139" s="118"/>
      <c r="H139" s="118"/>
      <c r="I139" s="118"/>
      <c r="J139" s="118"/>
      <c r="K139" s="118"/>
      <c r="L139" s="118"/>
      <c r="M139" s="118"/>
    </row>
    <row r="140" spans="1:13" ht="12" customHeight="1" x14ac:dyDescent="0.3">
      <c r="A140" s="118"/>
      <c r="G140" s="118"/>
      <c r="H140" s="118"/>
      <c r="I140" s="118"/>
      <c r="J140" s="118"/>
      <c r="K140" s="118"/>
      <c r="L140" s="118"/>
      <c r="M140" s="118"/>
    </row>
    <row r="141" spans="1:13" ht="12" customHeight="1" x14ac:dyDescent="0.3">
      <c r="A141" s="118"/>
      <c r="G141" s="118"/>
      <c r="H141" s="118"/>
      <c r="I141" s="118"/>
      <c r="J141" s="118"/>
      <c r="K141" s="118"/>
      <c r="L141" s="118"/>
      <c r="M141" s="118"/>
    </row>
    <row r="142" spans="1:13" ht="12" customHeight="1" x14ac:dyDescent="0.3">
      <c r="A142" s="118"/>
      <c r="G142" s="118"/>
      <c r="H142" s="118"/>
      <c r="I142" s="118"/>
      <c r="J142" s="118"/>
      <c r="K142" s="118"/>
      <c r="L142" s="118"/>
      <c r="M142" s="118"/>
    </row>
    <row r="143" spans="1:13" ht="12" customHeight="1" x14ac:dyDescent="0.3">
      <c r="A143" s="118"/>
      <c r="G143" s="118"/>
      <c r="H143" s="118"/>
      <c r="I143" s="118"/>
      <c r="J143" s="118"/>
      <c r="K143" s="118"/>
      <c r="L143" s="118"/>
      <c r="M143" s="118"/>
    </row>
    <row r="144" spans="1:13" ht="12" customHeight="1" x14ac:dyDescent="0.3">
      <c r="A144" s="118"/>
      <c r="G144" s="118"/>
      <c r="H144" s="118"/>
      <c r="I144" s="118"/>
      <c r="J144" s="118"/>
      <c r="K144" s="118"/>
      <c r="L144" s="118"/>
      <c r="M144" s="118"/>
    </row>
    <row r="145" spans="1:13" ht="12" customHeight="1" x14ac:dyDescent="0.3">
      <c r="A145" s="118"/>
      <c r="G145" s="118"/>
      <c r="H145" s="118"/>
      <c r="I145" s="118"/>
      <c r="J145" s="118"/>
      <c r="K145" s="118"/>
      <c r="L145" s="118"/>
      <c r="M145" s="118"/>
    </row>
    <row r="146" spans="1:13" ht="12" customHeight="1" x14ac:dyDescent="0.3">
      <c r="A146" s="118"/>
      <c r="G146" s="118"/>
      <c r="H146" s="118"/>
      <c r="I146" s="118"/>
      <c r="J146" s="118"/>
      <c r="K146" s="118"/>
      <c r="L146" s="118"/>
      <c r="M146" s="118"/>
    </row>
    <row r="147" spans="1:13" ht="12" customHeight="1" x14ac:dyDescent="0.3">
      <c r="A147" s="118"/>
      <c r="G147" s="118"/>
      <c r="H147" s="118"/>
      <c r="I147" s="118"/>
      <c r="J147" s="118"/>
      <c r="K147" s="118"/>
      <c r="L147" s="118"/>
      <c r="M147" s="118"/>
    </row>
    <row r="148" spans="1:13" ht="12" customHeight="1" x14ac:dyDescent="0.3">
      <c r="A148" s="118"/>
      <c r="G148" s="118"/>
      <c r="H148" s="118"/>
      <c r="I148" s="118"/>
      <c r="J148" s="118"/>
      <c r="K148" s="118"/>
      <c r="L148" s="118"/>
      <c r="M148" s="118"/>
    </row>
    <row r="149" spans="1:13" ht="12" customHeight="1" x14ac:dyDescent="0.3">
      <c r="A149" s="118"/>
      <c r="G149" s="118"/>
      <c r="H149" s="118"/>
      <c r="I149" s="118"/>
      <c r="J149" s="118"/>
      <c r="K149" s="118"/>
      <c r="L149" s="118"/>
      <c r="M149" s="118"/>
    </row>
    <row r="150" spans="1:13" ht="12" customHeight="1" x14ac:dyDescent="0.3">
      <c r="A150" s="118"/>
      <c r="G150" s="118"/>
      <c r="H150" s="118"/>
      <c r="I150" s="118"/>
      <c r="J150" s="118"/>
      <c r="K150" s="118"/>
      <c r="L150" s="118"/>
      <c r="M150" s="118"/>
    </row>
    <row r="151" spans="1:13" ht="12" customHeight="1" x14ac:dyDescent="0.3">
      <c r="A151" s="118"/>
      <c r="G151" s="118"/>
      <c r="H151" s="118"/>
      <c r="I151" s="118"/>
      <c r="J151" s="118"/>
      <c r="K151" s="118"/>
      <c r="L151" s="118"/>
      <c r="M151" s="118"/>
    </row>
    <row r="152" spans="1:13" ht="12" customHeight="1" x14ac:dyDescent="0.3">
      <c r="A152" s="118"/>
      <c r="G152" s="118"/>
      <c r="H152" s="118"/>
      <c r="I152" s="118"/>
      <c r="J152" s="118"/>
      <c r="K152" s="118"/>
      <c r="L152" s="118"/>
      <c r="M152" s="118"/>
    </row>
    <row r="153" spans="1:13" ht="12" customHeight="1" x14ac:dyDescent="0.3">
      <c r="A153" s="118"/>
      <c r="G153" s="118"/>
      <c r="H153" s="118"/>
      <c r="I153" s="118"/>
      <c r="J153" s="118"/>
      <c r="K153" s="118"/>
      <c r="L153" s="118"/>
      <c r="M153" s="118"/>
    </row>
    <row r="154" spans="1:13" ht="12" customHeight="1" x14ac:dyDescent="0.3">
      <c r="A154" s="118"/>
      <c r="G154" s="118"/>
      <c r="H154" s="118"/>
      <c r="I154" s="118"/>
      <c r="J154" s="118"/>
      <c r="K154" s="118"/>
      <c r="L154" s="118"/>
      <c r="M154" s="118"/>
    </row>
    <row r="155" spans="1:13" ht="12" customHeight="1" x14ac:dyDescent="0.3">
      <c r="A155" s="118"/>
      <c r="G155" s="118"/>
      <c r="H155" s="118"/>
      <c r="I155" s="118"/>
      <c r="J155" s="118"/>
      <c r="K155" s="118"/>
      <c r="L155" s="118"/>
      <c r="M155" s="118"/>
    </row>
    <row r="156" spans="1:13" ht="12" customHeight="1" x14ac:dyDescent="0.3">
      <c r="A156" s="118"/>
      <c r="G156" s="118"/>
      <c r="H156" s="118"/>
      <c r="I156" s="118"/>
      <c r="J156" s="118"/>
      <c r="K156" s="118"/>
      <c r="L156" s="118"/>
      <c r="M156" s="118"/>
    </row>
    <row r="157" spans="1:13" ht="12" customHeight="1" x14ac:dyDescent="0.3">
      <c r="A157" s="118"/>
      <c r="G157" s="118"/>
      <c r="H157" s="118"/>
      <c r="I157" s="118"/>
      <c r="J157" s="118"/>
      <c r="K157" s="118"/>
      <c r="L157" s="118"/>
      <c r="M157" s="118"/>
    </row>
    <row r="158" spans="1:13" ht="12" customHeight="1" x14ac:dyDescent="0.3">
      <c r="A158" s="118"/>
      <c r="G158" s="118"/>
      <c r="H158" s="118"/>
      <c r="I158" s="118"/>
      <c r="J158" s="118"/>
      <c r="K158" s="118"/>
      <c r="L158" s="118"/>
      <c r="M158" s="118"/>
    </row>
    <row r="159" spans="1:13" ht="12" customHeight="1" x14ac:dyDescent="0.3">
      <c r="A159" s="118"/>
      <c r="G159" s="118"/>
      <c r="H159" s="118"/>
      <c r="I159" s="118"/>
      <c r="J159" s="118"/>
      <c r="K159" s="118"/>
      <c r="L159" s="118"/>
      <c r="M159" s="118"/>
    </row>
    <row r="160" spans="1:13" ht="12" customHeight="1" x14ac:dyDescent="0.3">
      <c r="A160" s="118"/>
      <c r="G160" s="118"/>
      <c r="H160" s="118"/>
      <c r="I160" s="118"/>
      <c r="J160" s="118"/>
      <c r="K160" s="118"/>
      <c r="L160" s="118"/>
      <c r="M160" s="118"/>
    </row>
    <row r="161" spans="1:13" ht="12" customHeight="1" x14ac:dyDescent="0.3">
      <c r="A161" s="118"/>
      <c r="G161" s="118"/>
      <c r="H161" s="118"/>
      <c r="I161" s="118"/>
      <c r="J161" s="118"/>
      <c r="K161" s="118"/>
      <c r="L161" s="118"/>
      <c r="M161" s="118"/>
    </row>
    <row r="162" spans="1:13" ht="12" customHeight="1" x14ac:dyDescent="0.3">
      <c r="A162" s="118"/>
      <c r="G162" s="118"/>
      <c r="H162" s="118"/>
      <c r="I162" s="118"/>
      <c r="J162" s="118"/>
      <c r="K162" s="118"/>
      <c r="L162" s="118"/>
      <c r="M162" s="118"/>
    </row>
    <row r="163" spans="1:13" ht="12" customHeight="1" x14ac:dyDescent="0.3">
      <c r="A163" s="118"/>
      <c r="G163" s="118"/>
      <c r="H163" s="118"/>
      <c r="I163" s="118"/>
      <c r="J163" s="118"/>
      <c r="K163" s="118"/>
      <c r="L163" s="118"/>
      <c r="M163" s="118"/>
    </row>
    <row r="164" spans="1:13" ht="12" customHeight="1" x14ac:dyDescent="0.3">
      <c r="A164" s="118"/>
      <c r="G164" s="118"/>
      <c r="H164" s="118"/>
      <c r="I164" s="118"/>
      <c r="J164" s="118"/>
      <c r="K164" s="118"/>
      <c r="L164" s="118"/>
      <c r="M164" s="118"/>
    </row>
    <row r="165" spans="1:13" ht="12" customHeight="1" x14ac:dyDescent="0.3">
      <c r="A165" s="118"/>
      <c r="G165" s="118"/>
      <c r="H165" s="118"/>
      <c r="I165" s="118"/>
      <c r="J165" s="118"/>
      <c r="K165" s="118"/>
      <c r="L165" s="118"/>
      <c r="M165" s="118"/>
    </row>
    <row r="166" spans="1:13" ht="12" customHeight="1" x14ac:dyDescent="0.3">
      <c r="A166" s="118"/>
      <c r="G166" s="118"/>
      <c r="H166" s="118"/>
      <c r="I166" s="118"/>
      <c r="J166" s="118"/>
      <c r="K166" s="118"/>
      <c r="L166" s="118"/>
      <c r="M166" s="118"/>
    </row>
    <row r="167" spans="1:13" ht="12" customHeight="1" x14ac:dyDescent="0.3">
      <c r="A167" s="118"/>
      <c r="G167" s="118"/>
      <c r="H167" s="118"/>
      <c r="I167" s="118"/>
      <c r="J167" s="118"/>
      <c r="K167" s="118"/>
      <c r="L167" s="118"/>
      <c r="M167" s="118"/>
    </row>
    <row r="168" spans="1:13" ht="12" customHeight="1" x14ac:dyDescent="0.3">
      <c r="A168" s="118"/>
      <c r="G168" s="118"/>
      <c r="H168" s="118"/>
      <c r="I168" s="118"/>
      <c r="J168" s="118"/>
      <c r="K168" s="118"/>
      <c r="L168" s="118"/>
      <c r="M168" s="118"/>
    </row>
    <row r="169" spans="1:13" ht="12" customHeight="1" x14ac:dyDescent="0.3">
      <c r="A169" s="118"/>
      <c r="G169" s="118"/>
      <c r="H169" s="118"/>
      <c r="I169" s="118"/>
      <c r="J169" s="118"/>
      <c r="K169" s="118"/>
      <c r="L169" s="118"/>
      <c r="M169" s="118"/>
    </row>
    <row r="170" spans="1:13" ht="12" customHeight="1" x14ac:dyDescent="0.3">
      <c r="A170" s="118"/>
      <c r="G170" s="118"/>
      <c r="H170" s="118"/>
      <c r="I170" s="118"/>
      <c r="J170" s="118"/>
      <c r="K170" s="118"/>
      <c r="L170" s="118"/>
      <c r="M170" s="118"/>
    </row>
    <row r="171" spans="1:13" ht="12" customHeight="1" x14ac:dyDescent="0.3">
      <c r="A171" s="118"/>
      <c r="G171" s="118"/>
      <c r="H171" s="118"/>
      <c r="I171" s="118"/>
      <c r="J171" s="118"/>
      <c r="K171" s="118"/>
      <c r="L171" s="118"/>
      <c r="M171" s="118"/>
    </row>
    <row r="172" spans="1:13" ht="12" customHeight="1" x14ac:dyDescent="0.3">
      <c r="A172" s="118"/>
      <c r="G172" s="118"/>
      <c r="H172" s="118"/>
      <c r="I172" s="118"/>
      <c r="J172" s="118"/>
      <c r="K172" s="118"/>
      <c r="L172" s="118"/>
      <c r="M172" s="118"/>
    </row>
    <row r="173" spans="1:13" ht="12" customHeight="1" x14ac:dyDescent="0.3">
      <c r="A173" s="118"/>
      <c r="G173" s="118"/>
      <c r="H173" s="118"/>
      <c r="I173" s="118"/>
      <c r="J173" s="118"/>
      <c r="K173" s="118"/>
      <c r="L173" s="118"/>
      <c r="M173" s="118"/>
    </row>
    <row r="174" spans="1:13" ht="12" customHeight="1" x14ac:dyDescent="0.3">
      <c r="A174" s="118"/>
      <c r="G174" s="118"/>
      <c r="H174" s="118"/>
      <c r="I174" s="118"/>
      <c r="J174" s="118"/>
      <c r="K174" s="118"/>
      <c r="L174" s="118"/>
      <c r="M174" s="118"/>
    </row>
    <row r="175" spans="1:13" ht="12" customHeight="1" x14ac:dyDescent="0.3">
      <c r="A175" s="118"/>
      <c r="G175" s="118"/>
      <c r="H175" s="118"/>
      <c r="I175" s="118"/>
      <c r="J175" s="118"/>
      <c r="K175" s="118"/>
      <c r="L175" s="118"/>
      <c r="M175" s="118"/>
    </row>
    <row r="176" spans="1:13" ht="12" customHeight="1" x14ac:dyDescent="0.3">
      <c r="A176" s="118"/>
      <c r="G176" s="118"/>
      <c r="H176" s="118"/>
      <c r="I176" s="118"/>
      <c r="J176" s="118"/>
      <c r="K176" s="118"/>
      <c r="L176" s="118"/>
      <c r="M176" s="118"/>
    </row>
    <row r="177" spans="1:13" ht="12" customHeight="1" x14ac:dyDescent="0.3">
      <c r="A177" s="118"/>
      <c r="G177" s="118"/>
      <c r="H177" s="118"/>
      <c r="I177" s="118"/>
      <c r="J177" s="118"/>
      <c r="K177" s="118"/>
      <c r="L177" s="118"/>
      <c r="M177" s="118"/>
    </row>
    <row r="178" spans="1:13" ht="12" customHeight="1" x14ac:dyDescent="0.3">
      <c r="A178" s="118"/>
      <c r="G178" s="118"/>
      <c r="H178" s="118"/>
      <c r="I178" s="118"/>
      <c r="J178" s="118"/>
      <c r="K178" s="118"/>
      <c r="L178" s="118"/>
      <c r="M178" s="118"/>
    </row>
    <row r="179" spans="1:13" ht="12" customHeight="1" x14ac:dyDescent="0.3">
      <c r="A179" s="118"/>
      <c r="G179" s="118"/>
      <c r="H179" s="118"/>
      <c r="I179" s="118"/>
      <c r="J179" s="118"/>
      <c r="K179" s="118"/>
      <c r="L179" s="118"/>
      <c r="M179" s="118"/>
    </row>
    <row r="180" spans="1:13" ht="12" customHeight="1" x14ac:dyDescent="0.3">
      <c r="A180" s="118"/>
      <c r="G180" s="118"/>
      <c r="H180" s="118"/>
      <c r="I180" s="118"/>
      <c r="J180" s="118"/>
      <c r="K180" s="118"/>
      <c r="L180" s="118"/>
      <c r="M180" s="118"/>
    </row>
    <row r="181" spans="1:13" ht="12" customHeight="1" x14ac:dyDescent="0.3">
      <c r="A181" s="118"/>
      <c r="G181" s="118"/>
      <c r="H181" s="118"/>
      <c r="I181" s="118"/>
      <c r="J181" s="118"/>
      <c r="K181" s="118"/>
      <c r="L181" s="118"/>
      <c r="M181" s="118"/>
    </row>
    <row r="182" spans="1:13" ht="12" customHeight="1" x14ac:dyDescent="0.3">
      <c r="A182" s="118"/>
      <c r="G182" s="118"/>
      <c r="H182" s="118"/>
      <c r="I182" s="118"/>
      <c r="J182" s="118"/>
      <c r="K182" s="118"/>
      <c r="L182" s="118"/>
      <c r="M182" s="118"/>
    </row>
    <row r="183" spans="1:13" ht="12" customHeight="1" x14ac:dyDescent="0.3">
      <c r="A183" s="118"/>
      <c r="G183" s="118"/>
      <c r="H183" s="118"/>
      <c r="I183" s="118"/>
      <c r="J183" s="118"/>
      <c r="K183" s="118"/>
      <c r="L183" s="118"/>
      <c r="M183" s="118"/>
    </row>
    <row r="184" spans="1:13" ht="12" customHeight="1" x14ac:dyDescent="0.3">
      <c r="A184" s="118"/>
      <c r="G184" s="118"/>
      <c r="H184" s="118"/>
      <c r="I184" s="118"/>
      <c r="J184" s="118"/>
      <c r="K184" s="118"/>
      <c r="L184" s="118"/>
      <c r="M184" s="118"/>
    </row>
    <row r="185" spans="1:13" ht="12" customHeight="1" x14ac:dyDescent="0.3">
      <c r="A185" s="118"/>
      <c r="G185" s="118"/>
      <c r="H185" s="118"/>
      <c r="I185" s="118"/>
      <c r="J185" s="118"/>
      <c r="K185" s="118"/>
      <c r="L185" s="118"/>
      <c r="M185" s="118"/>
    </row>
    <row r="186" spans="1:13" ht="12" customHeight="1" x14ac:dyDescent="0.3">
      <c r="A186" s="118"/>
      <c r="G186" s="118"/>
      <c r="H186" s="118"/>
      <c r="I186" s="118"/>
      <c r="J186" s="118"/>
      <c r="K186" s="118"/>
      <c r="L186" s="118"/>
      <c r="M186" s="118"/>
    </row>
    <row r="187" spans="1:13" ht="12" customHeight="1" x14ac:dyDescent="0.3">
      <c r="A187" s="118"/>
      <c r="G187" s="118"/>
      <c r="H187" s="118"/>
      <c r="I187" s="118"/>
      <c r="J187" s="118"/>
      <c r="K187" s="118"/>
      <c r="L187" s="118"/>
      <c r="M187" s="118"/>
    </row>
    <row r="188" spans="1:13" ht="12" customHeight="1" x14ac:dyDescent="0.3">
      <c r="A188" s="118"/>
      <c r="G188" s="118"/>
      <c r="H188" s="118"/>
      <c r="I188" s="118"/>
      <c r="J188" s="118"/>
      <c r="K188" s="118"/>
      <c r="L188" s="118"/>
      <c r="M188" s="118"/>
    </row>
    <row r="189" spans="1:13" ht="12" customHeight="1" x14ac:dyDescent="0.3">
      <c r="A189" s="118"/>
      <c r="G189" s="118"/>
      <c r="H189" s="118"/>
      <c r="I189" s="118"/>
      <c r="J189" s="118"/>
      <c r="K189" s="118"/>
      <c r="L189" s="118"/>
      <c r="M189" s="118"/>
    </row>
    <row r="190" spans="1:13" ht="12" customHeight="1" x14ac:dyDescent="0.3">
      <c r="A190" s="118"/>
      <c r="G190" s="118"/>
      <c r="H190" s="118"/>
      <c r="I190" s="118"/>
      <c r="J190" s="118"/>
      <c r="K190" s="118"/>
      <c r="L190" s="118"/>
      <c r="M190" s="118"/>
    </row>
    <row r="191" spans="1:13" ht="12" customHeight="1" x14ac:dyDescent="0.3">
      <c r="A191" s="118"/>
      <c r="G191" s="118"/>
      <c r="H191" s="118"/>
      <c r="I191" s="118"/>
      <c r="J191" s="118"/>
      <c r="K191" s="118"/>
      <c r="L191" s="118"/>
      <c r="M191" s="118"/>
    </row>
    <row r="192" spans="1:13" ht="12" customHeight="1" x14ac:dyDescent="0.3">
      <c r="A192" s="118"/>
      <c r="G192" s="118"/>
      <c r="H192" s="118"/>
      <c r="I192" s="118"/>
      <c r="J192" s="118"/>
      <c r="K192" s="118"/>
      <c r="L192" s="118"/>
      <c r="M192" s="118"/>
    </row>
    <row r="193" spans="1:13" ht="12" customHeight="1" x14ac:dyDescent="0.3">
      <c r="A193" s="118"/>
      <c r="G193" s="118"/>
      <c r="H193" s="118"/>
      <c r="I193" s="118"/>
      <c r="J193" s="118"/>
      <c r="K193" s="118"/>
      <c r="L193" s="118"/>
      <c r="M193" s="118"/>
    </row>
    <row r="194" spans="1:13" ht="12" customHeight="1" x14ac:dyDescent="0.3">
      <c r="A194" s="118"/>
      <c r="G194" s="118"/>
      <c r="H194" s="118"/>
      <c r="I194" s="118"/>
      <c r="J194" s="118"/>
      <c r="K194" s="118"/>
      <c r="L194" s="118"/>
      <c r="M194" s="118"/>
    </row>
    <row r="195" spans="1:13" ht="12" customHeight="1" x14ac:dyDescent="0.3">
      <c r="A195" s="118"/>
      <c r="G195" s="118"/>
      <c r="H195" s="118"/>
      <c r="I195" s="118"/>
      <c r="J195" s="118"/>
      <c r="K195" s="118"/>
      <c r="L195" s="118"/>
      <c r="M195" s="118"/>
    </row>
    <row r="196" spans="1:13" ht="12" customHeight="1" x14ac:dyDescent="0.3">
      <c r="A196" s="118"/>
      <c r="G196" s="118"/>
      <c r="H196" s="118"/>
      <c r="I196" s="118"/>
      <c r="J196" s="118"/>
      <c r="K196" s="118"/>
      <c r="L196" s="118"/>
      <c r="M196" s="118"/>
    </row>
    <row r="197" spans="1:13" ht="12" customHeight="1" x14ac:dyDescent="0.3">
      <c r="A197" s="118"/>
      <c r="G197" s="118"/>
      <c r="H197" s="118"/>
      <c r="I197" s="118"/>
      <c r="J197" s="118"/>
      <c r="K197" s="118"/>
      <c r="L197" s="118"/>
      <c r="M197" s="118"/>
    </row>
    <row r="198" spans="1:13" ht="12" customHeight="1" x14ac:dyDescent="0.3">
      <c r="A198" s="118"/>
      <c r="G198" s="118"/>
      <c r="H198" s="118"/>
      <c r="I198" s="118"/>
      <c r="J198" s="118"/>
      <c r="K198" s="118"/>
      <c r="L198" s="118"/>
      <c r="M198" s="118"/>
    </row>
    <row r="199" spans="1:13" ht="12" customHeight="1" x14ac:dyDescent="0.3">
      <c r="A199" s="118"/>
      <c r="G199" s="118"/>
      <c r="H199" s="118"/>
      <c r="I199" s="118"/>
      <c r="J199" s="118"/>
      <c r="K199" s="118"/>
      <c r="L199" s="118"/>
      <c r="M199" s="118"/>
    </row>
    <row r="200" spans="1:13" ht="12" customHeight="1" x14ac:dyDescent="0.3">
      <c r="A200" s="118"/>
      <c r="G200" s="118"/>
      <c r="H200" s="118"/>
      <c r="I200" s="118"/>
      <c r="J200" s="118"/>
      <c r="K200" s="118"/>
      <c r="L200" s="118"/>
      <c r="M200" s="118"/>
    </row>
    <row r="201" spans="1:13" ht="12" customHeight="1" x14ac:dyDescent="0.3">
      <c r="A201" s="118"/>
      <c r="G201" s="118"/>
      <c r="H201" s="118"/>
      <c r="I201" s="118"/>
      <c r="J201" s="118"/>
      <c r="K201" s="118"/>
      <c r="L201" s="118"/>
      <c r="M201" s="118"/>
    </row>
    <row r="202" spans="1:13" ht="12" customHeight="1" x14ac:dyDescent="0.3">
      <c r="A202" s="118"/>
      <c r="G202" s="118"/>
      <c r="H202" s="118"/>
      <c r="I202" s="118"/>
      <c r="J202" s="118"/>
      <c r="K202" s="118"/>
      <c r="L202" s="118"/>
      <c r="M202" s="118"/>
    </row>
    <row r="203" spans="1:13" ht="12" customHeight="1" x14ac:dyDescent="0.3">
      <c r="A203" s="118"/>
      <c r="G203" s="118"/>
      <c r="H203" s="118"/>
      <c r="I203" s="118"/>
      <c r="J203" s="118"/>
      <c r="K203" s="118"/>
      <c r="L203" s="118"/>
      <c r="M203" s="118"/>
    </row>
    <row r="204" spans="1:13" ht="12" customHeight="1" x14ac:dyDescent="0.3">
      <c r="A204" s="118"/>
      <c r="G204" s="118"/>
      <c r="H204" s="118"/>
      <c r="I204" s="118"/>
      <c r="J204" s="118"/>
      <c r="K204" s="118"/>
      <c r="L204" s="118"/>
      <c r="M204" s="118"/>
    </row>
    <row r="205" spans="1:13" ht="12" customHeight="1" x14ac:dyDescent="0.3">
      <c r="A205" s="118"/>
      <c r="G205" s="118"/>
      <c r="H205" s="118"/>
      <c r="I205" s="118"/>
      <c r="J205" s="118"/>
      <c r="K205" s="118"/>
      <c r="L205" s="118"/>
      <c r="M205" s="118"/>
    </row>
    <row r="206" spans="1:13" ht="12" customHeight="1" x14ac:dyDescent="0.3">
      <c r="A206" s="118"/>
      <c r="G206" s="118"/>
      <c r="H206" s="118"/>
      <c r="I206" s="118"/>
      <c r="J206" s="118"/>
      <c r="K206" s="118"/>
      <c r="L206" s="118"/>
      <c r="M206" s="118"/>
    </row>
    <row r="207" spans="1:13" ht="12" customHeight="1" x14ac:dyDescent="0.3">
      <c r="A207" s="118"/>
      <c r="G207" s="118"/>
      <c r="H207" s="118"/>
      <c r="I207" s="118"/>
      <c r="J207" s="118"/>
      <c r="K207" s="118"/>
      <c r="L207" s="118"/>
      <c r="M207" s="118"/>
    </row>
    <row r="208" spans="1:13" ht="12" customHeight="1" x14ac:dyDescent="0.3">
      <c r="A208" s="118"/>
      <c r="G208" s="118"/>
      <c r="H208" s="118"/>
      <c r="I208" s="118"/>
      <c r="J208" s="118"/>
      <c r="K208" s="118"/>
      <c r="L208" s="118"/>
      <c r="M208" s="118"/>
    </row>
    <row r="209" spans="1:13" ht="12" customHeight="1" x14ac:dyDescent="0.3">
      <c r="A209" s="118"/>
      <c r="G209" s="118"/>
      <c r="H209" s="118"/>
      <c r="I209" s="118"/>
      <c r="J209" s="118"/>
      <c r="K209" s="118"/>
      <c r="L209" s="118"/>
      <c r="M209" s="118"/>
    </row>
    <row r="210" spans="1:13" ht="12" customHeight="1" x14ac:dyDescent="0.3">
      <c r="A210" s="118"/>
      <c r="G210" s="118"/>
      <c r="H210" s="118"/>
      <c r="I210" s="118"/>
      <c r="J210" s="118"/>
      <c r="K210" s="118"/>
      <c r="L210" s="118"/>
      <c r="M210" s="118"/>
    </row>
    <row r="211" spans="1:13" ht="12" customHeight="1" x14ac:dyDescent="0.3">
      <c r="A211" s="118"/>
      <c r="G211" s="118"/>
      <c r="H211" s="118"/>
      <c r="I211" s="118"/>
      <c r="J211" s="118"/>
      <c r="K211" s="118"/>
      <c r="L211" s="118"/>
      <c r="M211" s="118"/>
    </row>
    <row r="212" spans="1:13" ht="12" customHeight="1" x14ac:dyDescent="0.3">
      <c r="A212" s="118"/>
      <c r="G212" s="118"/>
      <c r="H212" s="118"/>
      <c r="I212" s="118"/>
      <c r="J212" s="118"/>
      <c r="K212" s="118"/>
      <c r="L212" s="118"/>
      <c r="M212" s="118"/>
    </row>
    <row r="213" spans="1:13" ht="12" customHeight="1" x14ac:dyDescent="0.3">
      <c r="A213" s="118"/>
      <c r="G213" s="118"/>
      <c r="H213" s="118"/>
      <c r="I213" s="118"/>
      <c r="J213" s="118"/>
      <c r="K213" s="118"/>
      <c r="L213" s="118"/>
      <c r="M213" s="118"/>
    </row>
    <row r="214" spans="1:13" ht="12" customHeight="1" x14ac:dyDescent="0.3">
      <c r="A214" s="118"/>
      <c r="G214" s="118"/>
      <c r="H214" s="118"/>
      <c r="I214" s="118"/>
      <c r="J214" s="118"/>
      <c r="K214" s="118"/>
      <c r="L214" s="118"/>
      <c r="M214" s="118"/>
    </row>
    <row r="215" spans="1:13" ht="12" customHeight="1" x14ac:dyDescent="0.3">
      <c r="A215" s="118"/>
      <c r="G215" s="118"/>
      <c r="H215" s="118"/>
      <c r="I215" s="118"/>
      <c r="J215" s="118"/>
      <c r="K215" s="118"/>
      <c r="L215" s="118"/>
      <c r="M215" s="118"/>
    </row>
    <row r="216" spans="1:13" ht="12" customHeight="1" x14ac:dyDescent="0.3">
      <c r="A216" s="118"/>
      <c r="G216" s="118"/>
      <c r="H216" s="118"/>
      <c r="I216" s="118"/>
      <c r="J216" s="118"/>
      <c r="K216" s="118"/>
      <c r="L216" s="118"/>
      <c r="M216" s="118"/>
    </row>
    <row r="217" spans="1:13" ht="12" customHeight="1" x14ac:dyDescent="0.3">
      <c r="A217" s="118"/>
      <c r="G217" s="118"/>
      <c r="H217" s="118"/>
      <c r="I217" s="118"/>
      <c r="J217" s="118"/>
      <c r="K217" s="118"/>
      <c r="L217" s="118"/>
      <c r="M217" s="118"/>
    </row>
    <row r="218" spans="1:13" ht="12" customHeight="1" x14ac:dyDescent="0.3">
      <c r="A218" s="118"/>
      <c r="G218" s="118"/>
      <c r="H218" s="118"/>
      <c r="I218" s="118"/>
      <c r="J218" s="118"/>
      <c r="K218" s="118"/>
      <c r="L218" s="118"/>
      <c r="M218" s="118"/>
    </row>
    <row r="219" spans="1:13" ht="12" customHeight="1" x14ac:dyDescent="0.3">
      <c r="A219" s="118"/>
      <c r="G219" s="118"/>
      <c r="H219" s="118"/>
      <c r="I219" s="118"/>
      <c r="J219" s="118"/>
      <c r="K219" s="118"/>
      <c r="L219" s="118"/>
      <c r="M219" s="118"/>
    </row>
    <row r="220" spans="1:13" ht="12" customHeight="1" x14ac:dyDescent="0.3">
      <c r="A220" s="118"/>
      <c r="G220" s="118"/>
      <c r="H220" s="118"/>
      <c r="I220" s="118"/>
      <c r="J220" s="118"/>
      <c r="K220" s="118"/>
      <c r="L220" s="118"/>
      <c r="M220" s="118"/>
    </row>
    <row r="221" spans="1:13" ht="12" customHeight="1" x14ac:dyDescent="0.3">
      <c r="A221" s="118"/>
      <c r="G221" s="118"/>
      <c r="H221" s="118"/>
      <c r="I221" s="118"/>
      <c r="J221" s="118"/>
      <c r="K221" s="118"/>
      <c r="L221" s="118"/>
      <c r="M221" s="118"/>
    </row>
    <row r="222" spans="1:13" ht="12" customHeight="1" x14ac:dyDescent="0.3">
      <c r="A222" s="118"/>
      <c r="G222" s="118"/>
      <c r="H222" s="118"/>
      <c r="I222" s="118"/>
      <c r="J222" s="118"/>
      <c r="K222" s="118"/>
      <c r="L222" s="118"/>
      <c r="M222" s="118"/>
    </row>
    <row r="223" spans="1:13" ht="12" customHeight="1" x14ac:dyDescent="0.3">
      <c r="A223" s="118"/>
      <c r="G223" s="118"/>
      <c r="H223" s="118"/>
      <c r="I223" s="118"/>
      <c r="J223" s="118"/>
      <c r="K223" s="118"/>
      <c r="L223" s="118"/>
      <c r="M223" s="118"/>
    </row>
    <row r="224" spans="1:13" ht="12" customHeight="1" x14ac:dyDescent="0.3">
      <c r="A224" s="118"/>
      <c r="G224" s="118"/>
      <c r="H224" s="118"/>
      <c r="I224" s="118"/>
      <c r="J224" s="118"/>
      <c r="K224" s="118"/>
      <c r="L224" s="118"/>
      <c r="M224" s="118"/>
    </row>
    <row r="225" spans="1:13" ht="12" customHeight="1" x14ac:dyDescent="0.3">
      <c r="A225" s="118"/>
      <c r="G225" s="118"/>
      <c r="H225" s="118"/>
      <c r="I225" s="118"/>
      <c r="J225" s="118"/>
      <c r="K225" s="118"/>
      <c r="L225" s="118"/>
      <c r="M225" s="118"/>
    </row>
    <row r="226" spans="1:13" ht="12" customHeight="1" x14ac:dyDescent="0.3">
      <c r="A226" s="118"/>
      <c r="G226" s="118"/>
      <c r="H226" s="118"/>
      <c r="I226" s="118"/>
      <c r="J226" s="118"/>
      <c r="K226" s="118"/>
      <c r="L226" s="118"/>
      <c r="M226" s="118"/>
    </row>
    <row r="227" spans="1:13" ht="12" customHeight="1" x14ac:dyDescent="0.3">
      <c r="A227" s="118"/>
      <c r="G227" s="118"/>
      <c r="H227" s="118"/>
      <c r="I227" s="118"/>
      <c r="J227" s="118"/>
      <c r="K227" s="118"/>
      <c r="L227" s="118"/>
      <c r="M227" s="118"/>
    </row>
    <row r="228" spans="1:13" ht="12" customHeight="1" x14ac:dyDescent="0.3">
      <c r="A228" s="118"/>
      <c r="G228" s="118"/>
      <c r="H228" s="118"/>
      <c r="I228" s="118"/>
      <c r="J228" s="118"/>
      <c r="K228" s="118"/>
      <c r="L228" s="118"/>
      <c r="M228" s="118"/>
    </row>
    <row r="229" spans="1:13" ht="12" customHeight="1" x14ac:dyDescent="0.3">
      <c r="A229" s="118"/>
      <c r="G229" s="118"/>
      <c r="H229" s="118"/>
      <c r="I229" s="118"/>
      <c r="J229" s="118"/>
      <c r="K229" s="118"/>
      <c r="L229" s="118"/>
      <c r="M229" s="118"/>
    </row>
    <row r="230" spans="1:13" ht="12" customHeight="1" x14ac:dyDescent="0.3">
      <c r="A230" s="118"/>
      <c r="G230" s="118"/>
      <c r="H230" s="118"/>
      <c r="I230" s="118"/>
      <c r="J230" s="118"/>
      <c r="K230" s="118"/>
      <c r="L230" s="118"/>
      <c r="M230" s="118"/>
    </row>
    <row r="231" spans="1:13" ht="12" customHeight="1" x14ac:dyDescent="0.3">
      <c r="A231" s="118"/>
      <c r="G231" s="118"/>
      <c r="H231" s="118"/>
      <c r="I231" s="118"/>
      <c r="J231" s="118"/>
      <c r="K231" s="118"/>
      <c r="L231" s="118"/>
      <c r="M231" s="118"/>
    </row>
    <row r="232" spans="1:13" ht="12" customHeight="1" x14ac:dyDescent="0.3">
      <c r="A232" s="118"/>
      <c r="G232" s="118"/>
      <c r="H232" s="118"/>
      <c r="I232" s="118"/>
      <c r="J232" s="118"/>
      <c r="K232" s="118"/>
      <c r="L232" s="118"/>
      <c r="M232" s="118"/>
    </row>
    <row r="233" spans="1:13" ht="12" customHeight="1" x14ac:dyDescent="0.3">
      <c r="A233" s="118"/>
      <c r="G233" s="118"/>
      <c r="H233" s="118"/>
      <c r="I233" s="118"/>
      <c r="J233" s="118"/>
      <c r="K233" s="118"/>
      <c r="L233" s="118"/>
      <c r="M233" s="118"/>
    </row>
    <row r="234" spans="1:13" ht="12" customHeight="1" x14ac:dyDescent="0.3">
      <c r="A234" s="118"/>
      <c r="G234" s="118"/>
      <c r="H234" s="118"/>
      <c r="I234" s="118"/>
      <c r="J234" s="118"/>
      <c r="K234" s="118"/>
      <c r="L234" s="118"/>
      <c r="M234" s="118"/>
    </row>
    <row r="235" spans="1:13" ht="12" customHeight="1" x14ac:dyDescent="0.3">
      <c r="A235" s="118"/>
      <c r="G235" s="118"/>
      <c r="H235" s="118"/>
      <c r="I235" s="118"/>
      <c r="J235" s="118"/>
      <c r="K235" s="118"/>
      <c r="L235" s="118"/>
      <c r="M235" s="118"/>
    </row>
    <row r="236" spans="1:13" ht="12" customHeight="1" x14ac:dyDescent="0.3">
      <c r="A236" s="118"/>
      <c r="G236" s="118"/>
      <c r="H236" s="118"/>
      <c r="I236" s="118"/>
      <c r="J236" s="118"/>
      <c r="K236" s="118"/>
      <c r="L236" s="118"/>
      <c r="M236" s="118"/>
    </row>
    <row r="237" spans="1:13" ht="12" customHeight="1" x14ac:dyDescent="0.3">
      <c r="A237" s="118"/>
      <c r="G237" s="118"/>
      <c r="H237" s="118"/>
      <c r="I237" s="118"/>
      <c r="J237" s="118"/>
      <c r="K237" s="118"/>
      <c r="L237" s="118"/>
      <c r="M237" s="118"/>
    </row>
    <row r="238" spans="1:13" ht="12" customHeight="1" x14ac:dyDescent="0.3">
      <c r="A238" s="118"/>
      <c r="G238" s="118"/>
      <c r="H238" s="118"/>
      <c r="I238" s="118"/>
      <c r="J238" s="118"/>
      <c r="K238" s="118"/>
      <c r="L238" s="118"/>
      <c r="M238" s="118"/>
    </row>
    <row r="239" spans="1:13" ht="12" customHeight="1" x14ac:dyDescent="0.3">
      <c r="A239" s="118"/>
      <c r="G239" s="118"/>
      <c r="H239" s="118"/>
      <c r="I239" s="118"/>
      <c r="J239" s="118"/>
      <c r="K239" s="118"/>
      <c r="L239" s="118"/>
      <c r="M239" s="118"/>
    </row>
    <row r="240" spans="1:13" ht="12" customHeight="1" x14ac:dyDescent="0.3">
      <c r="A240" s="118"/>
      <c r="G240" s="118"/>
      <c r="H240" s="118"/>
      <c r="I240" s="118"/>
      <c r="J240" s="118"/>
      <c r="K240" s="118"/>
      <c r="L240" s="118"/>
      <c r="M240" s="118"/>
    </row>
    <row r="241" spans="1:13" ht="12" customHeight="1" x14ac:dyDescent="0.3">
      <c r="A241" s="118"/>
      <c r="G241" s="118"/>
      <c r="H241" s="118"/>
      <c r="I241" s="118"/>
      <c r="J241" s="118"/>
      <c r="K241" s="118"/>
      <c r="L241" s="118"/>
      <c r="M241" s="118"/>
    </row>
    <row r="242" spans="1:13" ht="12" customHeight="1" x14ac:dyDescent="0.3">
      <c r="A242" s="118"/>
      <c r="G242" s="118"/>
      <c r="H242" s="118"/>
      <c r="I242" s="118"/>
      <c r="J242" s="118"/>
      <c r="K242" s="118"/>
      <c r="L242" s="118"/>
      <c r="M242" s="118"/>
    </row>
    <row r="243" spans="1:13" ht="12" customHeight="1" x14ac:dyDescent="0.3">
      <c r="A243" s="118"/>
      <c r="G243" s="118"/>
      <c r="H243" s="118"/>
      <c r="I243" s="118"/>
      <c r="J243" s="118"/>
      <c r="K243" s="118"/>
      <c r="L243" s="118"/>
      <c r="M243" s="118"/>
    </row>
    <row r="244" spans="1:13" ht="12" customHeight="1" x14ac:dyDescent="0.3">
      <c r="A244" s="118"/>
      <c r="G244" s="118"/>
      <c r="H244" s="118"/>
      <c r="I244" s="118"/>
      <c r="J244" s="118"/>
      <c r="K244" s="118"/>
      <c r="L244" s="118"/>
      <c r="M244" s="118"/>
    </row>
    <row r="245" spans="1:13" ht="12" customHeight="1" x14ac:dyDescent="0.3">
      <c r="A245" s="118"/>
      <c r="G245" s="118"/>
      <c r="H245" s="118"/>
      <c r="I245" s="118"/>
      <c r="J245" s="118"/>
      <c r="K245" s="118"/>
      <c r="L245" s="118"/>
      <c r="M245" s="118"/>
    </row>
    <row r="246" spans="1:13" ht="12" customHeight="1" x14ac:dyDescent="0.3">
      <c r="A246" s="118"/>
      <c r="G246" s="118"/>
      <c r="H246" s="118"/>
      <c r="I246" s="118"/>
      <c r="J246" s="118"/>
      <c r="K246" s="118"/>
      <c r="L246" s="118"/>
      <c r="M246" s="118"/>
    </row>
    <row r="247" spans="1:13" ht="12" customHeight="1" x14ac:dyDescent="0.3">
      <c r="A247" s="118"/>
      <c r="G247" s="118"/>
      <c r="H247" s="118"/>
      <c r="I247" s="118"/>
      <c r="J247" s="118"/>
      <c r="K247" s="118"/>
      <c r="L247" s="118"/>
      <c r="M247" s="118"/>
    </row>
    <row r="248" spans="1:13" ht="12" customHeight="1" x14ac:dyDescent="0.3">
      <c r="A248" s="118"/>
      <c r="G248" s="118"/>
      <c r="H248" s="118"/>
      <c r="I248" s="118"/>
      <c r="J248" s="118"/>
      <c r="K248" s="118"/>
      <c r="L248" s="118"/>
      <c r="M248" s="118"/>
    </row>
    <row r="249" spans="1:13" ht="12" customHeight="1" x14ac:dyDescent="0.3">
      <c r="A249" s="118"/>
      <c r="G249" s="118"/>
      <c r="H249" s="118"/>
      <c r="I249" s="118"/>
      <c r="J249" s="118"/>
      <c r="K249" s="118"/>
      <c r="L249" s="118"/>
      <c r="M249" s="118"/>
    </row>
    <row r="250" spans="1:13" ht="12" customHeight="1" x14ac:dyDescent="0.3">
      <c r="A250" s="118"/>
      <c r="G250" s="118"/>
      <c r="H250" s="118"/>
      <c r="I250" s="118"/>
      <c r="J250" s="118"/>
      <c r="K250" s="118"/>
      <c r="L250" s="118"/>
      <c r="M250" s="118"/>
    </row>
    <row r="251" spans="1:13" ht="12" customHeight="1" x14ac:dyDescent="0.3">
      <c r="A251" s="118"/>
      <c r="G251" s="118"/>
      <c r="H251" s="118"/>
      <c r="I251" s="118"/>
      <c r="J251" s="118"/>
      <c r="K251" s="118"/>
      <c r="L251" s="118"/>
      <c r="M251" s="118"/>
    </row>
    <row r="252" spans="1:13" ht="12" customHeight="1" x14ac:dyDescent="0.3">
      <c r="A252" s="118"/>
      <c r="G252" s="118"/>
      <c r="H252" s="118"/>
      <c r="I252" s="118"/>
      <c r="J252" s="118"/>
      <c r="K252" s="118"/>
      <c r="L252" s="118"/>
      <c r="M252" s="118"/>
    </row>
    <row r="253" spans="1:13" ht="12" customHeight="1" x14ac:dyDescent="0.3">
      <c r="A253" s="118"/>
      <c r="G253" s="118"/>
      <c r="H253" s="118"/>
      <c r="I253" s="118"/>
      <c r="J253" s="118"/>
      <c r="K253" s="118"/>
      <c r="L253" s="118"/>
      <c r="M253" s="118"/>
    </row>
    <row r="254" spans="1:13" ht="12" customHeight="1" x14ac:dyDescent="0.3">
      <c r="A254" s="118"/>
      <c r="G254" s="118"/>
      <c r="H254" s="118"/>
      <c r="I254" s="118"/>
      <c r="J254" s="118"/>
      <c r="K254" s="118"/>
      <c r="L254" s="118"/>
      <c r="M254" s="118"/>
    </row>
    <row r="255" spans="1:13" ht="12" customHeight="1" x14ac:dyDescent="0.3">
      <c r="A255" s="118"/>
      <c r="G255" s="118"/>
      <c r="H255" s="118"/>
      <c r="I255" s="118"/>
      <c r="J255" s="118"/>
      <c r="K255" s="118"/>
      <c r="L255" s="118"/>
      <c r="M255" s="118"/>
    </row>
    <row r="256" spans="1:13" ht="12" customHeight="1" x14ac:dyDescent="0.3">
      <c r="A256" s="118"/>
      <c r="G256" s="118"/>
      <c r="H256" s="118"/>
      <c r="I256" s="118"/>
      <c r="J256" s="118"/>
      <c r="K256" s="118"/>
      <c r="L256" s="118"/>
      <c r="M256" s="118"/>
    </row>
    <row r="257" spans="1:13" ht="12" customHeight="1" x14ac:dyDescent="0.3">
      <c r="A257" s="118"/>
      <c r="G257" s="118"/>
      <c r="H257" s="118"/>
      <c r="I257" s="118"/>
      <c r="J257" s="118"/>
      <c r="K257" s="118"/>
      <c r="L257" s="118"/>
      <c r="M257" s="118"/>
    </row>
    <row r="258" spans="1:13" ht="12" customHeight="1" x14ac:dyDescent="0.3">
      <c r="A258" s="118"/>
      <c r="G258" s="118"/>
      <c r="H258" s="118"/>
      <c r="I258" s="118"/>
      <c r="J258" s="118"/>
      <c r="K258" s="118"/>
      <c r="L258" s="118"/>
      <c r="M258" s="118"/>
    </row>
    <row r="259" spans="1:13" ht="12" customHeight="1" x14ac:dyDescent="0.3">
      <c r="A259" s="118"/>
      <c r="G259" s="118"/>
      <c r="H259" s="118"/>
      <c r="I259" s="118"/>
      <c r="J259" s="118"/>
      <c r="K259" s="118"/>
      <c r="L259" s="118"/>
      <c r="M259" s="118"/>
    </row>
    <row r="260" spans="1:13" ht="12" customHeight="1" x14ac:dyDescent="0.3">
      <c r="A260" s="118"/>
      <c r="G260" s="118"/>
      <c r="H260" s="118"/>
      <c r="I260" s="118"/>
      <c r="J260" s="118"/>
      <c r="K260" s="118"/>
      <c r="L260" s="118"/>
      <c r="M260" s="118"/>
    </row>
    <row r="261" spans="1:13" ht="12" customHeight="1" x14ac:dyDescent="0.3">
      <c r="A261" s="118"/>
      <c r="G261" s="118"/>
      <c r="H261" s="118"/>
      <c r="I261" s="118"/>
      <c r="J261" s="118"/>
      <c r="K261" s="118"/>
      <c r="L261" s="118"/>
      <c r="M261" s="118"/>
    </row>
    <row r="262" spans="1:13" ht="12" customHeight="1" x14ac:dyDescent="0.3">
      <c r="A262" s="118"/>
      <c r="G262" s="118"/>
      <c r="H262" s="118"/>
      <c r="I262" s="118"/>
      <c r="J262" s="118"/>
      <c r="K262" s="118"/>
      <c r="L262" s="118"/>
      <c r="M262" s="118"/>
    </row>
    <row r="263" spans="1:13" ht="12" customHeight="1" x14ac:dyDescent="0.3">
      <c r="A263" s="118"/>
      <c r="G263" s="118"/>
      <c r="H263" s="118"/>
      <c r="I263" s="118"/>
      <c r="J263" s="118"/>
      <c r="K263" s="118"/>
      <c r="L263" s="118"/>
      <c r="M263" s="118"/>
    </row>
    <row r="264" spans="1:13" ht="12" customHeight="1" x14ac:dyDescent="0.3">
      <c r="A264" s="118"/>
      <c r="G264" s="118"/>
      <c r="H264" s="118"/>
      <c r="I264" s="118"/>
      <c r="J264" s="118"/>
      <c r="K264" s="118"/>
      <c r="L264" s="118"/>
      <c r="M264" s="118"/>
    </row>
    <row r="265" spans="1:13" ht="12" customHeight="1" x14ac:dyDescent="0.3">
      <c r="A265" s="118"/>
      <c r="G265" s="118"/>
      <c r="H265" s="118"/>
      <c r="I265" s="118"/>
      <c r="J265" s="118"/>
      <c r="K265" s="118"/>
      <c r="L265" s="118"/>
      <c r="M265" s="118"/>
    </row>
    <row r="266" spans="1:13" ht="12" customHeight="1" x14ac:dyDescent="0.3">
      <c r="A266" s="118"/>
      <c r="G266" s="118"/>
      <c r="H266" s="118"/>
      <c r="I266" s="118"/>
      <c r="J266" s="118"/>
      <c r="K266" s="118"/>
      <c r="L266" s="118"/>
      <c r="M266" s="118"/>
    </row>
    <row r="267" spans="1:13" ht="12" customHeight="1" x14ac:dyDescent="0.3">
      <c r="A267" s="118"/>
      <c r="G267" s="118"/>
      <c r="H267" s="118"/>
      <c r="I267" s="118"/>
      <c r="J267" s="118"/>
      <c r="K267" s="118"/>
      <c r="L267" s="118"/>
      <c r="M267" s="118"/>
    </row>
    <row r="268" spans="1:13" ht="12" customHeight="1" x14ac:dyDescent="0.3">
      <c r="A268" s="118"/>
      <c r="G268" s="118"/>
      <c r="H268" s="118"/>
      <c r="I268" s="118"/>
      <c r="J268" s="118"/>
      <c r="K268" s="118"/>
      <c r="L268" s="118"/>
      <c r="M268" s="118"/>
    </row>
    <row r="269" spans="1:13" ht="12" customHeight="1" x14ac:dyDescent="0.3">
      <c r="A269" s="118"/>
      <c r="G269" s="118"/>
      <c r="H269" s="118"/>
      <c r="I269" s="118"/>
      <c r="J269" s="118"/>
      <c r="K269" s="118"/>
      <c r="L269" s="118"/>
      <c r="M269" s="118"/>
    </row>
    <row r="270" spans="1:13" ht="12" customHeight="1" x14ac:dyDescent="0.3">
      <c r="A270" s="118"/>
      <c r="G270" s="118"/>
      <c r="H270" s="118"/>
      <c r="I270" s="118"/>
      <c r="J270" s="118"/>
      <c r="K270" s="118"/>
      <c r="L270" s="118"/>
      <c r="M270" s="118"/>
    </row>
    <row r="271" spans="1:13" ht="12" customHeight="1" x14ac:dyDescent="0.3">
      <c r="A271" s="118"/>
      <c r="G271" s="118"/>
      <c r="H271" s="118"/>
      <c r="I271" s="118"/>
      <c r="J271" s="118"/>
      <c r="K271" s="118"/>
      <c r="L271" s="118"/>
      <c r="M271" s="118"/>
    </row>
    <row r="272" spans="1:13" ht="12" customHeight="1" x14ac:dyDescent="0.3">
      <c r="A272" s="118"/>
      <c r="G272" s="118"/>
      <c r="H272" s="118"/>
      <c r="I272" s="118"/>
      <c r="J272" s="118"/>
      <c r="K272" s="118"/>
      <c r="L272" s="118"/>
      <c r="M272" s="118"/>
    </row>
    <row r="273" spans="1:13" ht="12" customHeight="1" x14ac:dyDescent="0.3">
      <c r="A273" s="118"/>
      <c r="G273" s="118"/>
      <c r="H273" s="118"/>
      <c r="I273" s="118"/>
      <c r="J273" s="118"/>
      <c r="K273" s="118"/>
      <c r="L273" s="118"/>
      <c r="M273" s="118"/>
    </row>
    <row r="274" spans="1:13" ht="12" customHeight="1" x14ac:dyDescent="0.3">
      <c r="A274" s="118"/>
      <c r="G274" s="118"/>
      <c r="H274" s="118"/>
      <c r="I274" s="118"/>
      <c r="J274" s="118"/>
      <c r="K274" s="118"/>
      <c r="L274" s="118"/>
      <c r="M274" s="118"/>
    </row>
    <row r="275" spans="1:13" ht="12" customHeight="1" x14ac:dyDescent="0.3">
      <c r="A275" s="118"/>
      <c r="G275" s="118"/>
      <c r="H275" s="118"/>
      <c r="I275" s="118"/>
      <c r="J275" s="118"/>
      <c r="K275" s="118"/>
      <c r="L275" s="118"/>
      <c r="M275" s="118"/>
    </row>
    <row r="276" spans="1:13" ht="12" customHeight="1" x14ac:dyDescent="0.3">
      <c r="A276" s="118"/>
      <c r="G276" s="118"/>
      <c r="H276" s="118"/>
      <c r="I276" s="118"/>
      <c r="J276" s="118"/>
      <c r="K276" s="118"/>
      <c r="L276" s="118"/>
      <c r="M276" s="118"/>
    </row>
    <row r="277" spans="1:13" ht="12" customHeight="1" x14ac:dyDescent="0.3">
      <c r="A277" s="118"/>
      <c r="G277" s="118"/>
      <c r="H277" s="118"/>
      <c r="I277" s="118"/>
      <c r="J277" s="118"/>
      <c r="K277" s="118"/>
      <c r="L277" s="118"/>
      <c r="M277" s="118"/>
    </row>
    <row r="278" spans="1:13" ht="12" customHeight="1" x14ac:dyDescent="0.3">
      <c r="A278" s="118"/>
      <c r="G278" s="118"/>
      <c r="H278" s="118"/>
      <c r="I278" s="118"/>
      <c r="J278" s="118"/>
      <c r="K278" s="118"/>
      <c r="L278" s="118"/>
      <c r="M278" s="118"/>
    </row>
    <row r="279" spans="1:13" ht="12" customHeight="1" x14ac:dyDescent="0.3">
      <c r="A279" s="118"/>
      <c r="G279" s="118"/>
      <c r="H279" s="118"/>
      <c r="I279" s="118"/>
      <c r="J279" s="118"/>
      <c r="K279" s="118"/>
      <c r="L279" s="118"/>
      <c r="M279" s="118"/>
    </row>
    <row r="280" spans="1:13" ht="12" customHeight="1" x14ac:dyDescent="0.3">
      <c r="A280" s="118"/>
      <c r="G280" s="118"/>
      <c r="H280" s="118"/>
      <c r="I280" s="118"/>
      <c r="J280" s="118"/>
      <c r="K280" s="118"/>
      <c r="L280" s="118"/>
      <c r="M280" s="118"/>
    </row>
    <row r="281" spans="1:13" ht="12" customHeight="1" x14ac:dyDescent="0.3">
      <c r="A281" s="118"/>
      <c r="G281" s="118"/>
      <c r="H281" s="118"/>
      <c r="I281" s="118"/>
      <c r="J281" s="118"/>
      <c r="K281" s="118"/>
      <c r="L281" s="118"/>
      <c r="M281" s="118"/>
    </row>
    <row r="282" spans="1:13" ht="12" customHeight="1" x14ac:dyDescent="0.3">
      <c r="A282" s="118"/>
      <c r="G282" s="118"/>
      <c r="H282" s="118"/>
      <c r="I282" s="118"/>
      <c r="J282" s="118"/>
      <c r="K282" s="118"/>
      <c r="L282" s="118"/>
      <c r="M282" s="118"/>
    </row>
    <row r="283" spans="1:13" ht="12" customHeight="1" x14ac:dyDescent="0.3">
      <c r="A283" s="118"/>
      <c r="G283" s="118"/>
      <c r="H283" s="118"/>
      <c r="I283" s="118"/>
      <c r="J283" s="118"/>
      <c r="K283" s="118"/>
      <c r="L283" s="118"/>
      <c r="M283" s="118"/>
    </row>
    <row r="284" spans="1:13" ht="12" customHeight="1" x14ac:dyDescent="0.3">
      <c r="A284" s="118"/>
      <c r="G284" s="118"/>
      <c r="H284" s="118"/>
      <c r="I284" s="118"/>
      <c r="J284" s="118"/>
      <c r="K284" s="118"/>
      <c r="L284" s="118"/>
      <c r="M284" s="118"/>
    </row>
    <row r="285" spans="1:13" ht="12" customHeight="1" x14ac:dyDescent="0.3">
      <c r="A285" s="118"/>
      <c r="G285" s="118"/>
      <c r="H285" s="118"/>
      <c r="I285" s="118"/>
      <c r="J285" s="118"/>
      <c r="K285" s="118"/>
      <c r="L285" s="118"/>
      <c r="M285" s="118"/>
    </row>
    <row r="286" spans="1:13" ht="12" customHeight="1" x14ac:dyDescent="0.3">
      <c r="A286" s="118"/>
      <c r="G286" s="118"/>
      <c r="H286" s="118"/>
      <c r="I286" s="118"/>
      <c r="J286" s="118"/>
      <c r="K286" s="118"/>
      <c r="L286" s="118"/>
      <c r="M286" s="118"/>
    </row>
    <row r="287" spans="1:13" ht="12" customHeight="1" x14ac:dyDescent="0.3">
      <c r="A287" s="118"/>
      <c r="G287" s="118"/>
      <c r="H287" s="118"/>
      <c r="I287" s="118"/>
      <c r="J287" s="118"/>
      <c r="K287" s="118"/>
      <c r="L287" s="118"/>
      <c r="M287" s="118"/>
    </row>
    <row r="288" spans="1:13" ht="12" customHeight="1" x14ac:dyDescent="0.3">
      <c r="A288" s="118"/>
      <c r="G288" s="118"/>
      <c r="H288" s="118"/>
      <c r="I288" s="118"/>
      <c r="J288" s="118"/>
      <c r="K288" s="118"/>
      <c r="L288" s="118"/>
      <c r="M288" s="118"/>
    </row>
    <row r="289" spans="1:13" ht="12" customHeight="1" x14ac:dyDescent="0.3">
      <c r="A289" s="118"/>
      <c r="G289" s="118"/>
      <c r="H289" s="118"/>
      <c r="I289" s="118"/>
      <c r="J289" s="118"/>
      <c r="K289" s="118"/>
      <c r="L289" s="118"/>
      <c r="M289" s="118"/>
    </row>
    <row r="290" spans="1:13" ht="12" customHeight="1" x14ac:dyDescent="0.3">
      <c r="A290" s="118"/>
      <c r="G290" s="118"/>
      <c r="H290" s="118"/>
      <c r="I290" s="118"/>
      <c r="J290" s="118"/>
      <c r="K290" s="118"/>
      <c r="L290" s="118"/>
      <c r="M290" s="118"/>
    </row>
    <row r="291" spans="1:13" ht="12" customHeight="1" x14ac:dyDescent="0.3">
      <c r="A291" s="118"/>
      <c r="G291" s="118"/>
      <c r="H291" s="118"/>
      <c r="I291" s="118"/>
      <c r="J291" s="118"/>
      <c r="K291" s="118"/>
      <c r="L291" s="118"/>
      <c r="M291" s="118"/>
    </row>
    <row r="292" spans="1:13" ht="12" customHeight="1" x14ac:dyDescent="0.3">
      <c r="A292" s="118"/>
      <c r="G292" s="118"/>
      <c r="H292" s="118"/>
      <c r="I292" s="118"/>
      <c r="J292" s="118"/>
      <c r="K292" s="118"/>
      <c r="L292" s="118"/>
      <c r="M292" s="118"/>
    </row>
    <row r="293" spans="1:13" ht="12" customHeight="1" x14ac:dyDescent="0.3">
      <c r="A293" s="118"/>
      <c r="G293" s="118"/>
      <c r="H293" s="118"/>
      <c r="I293" s="118"/>
      <c r="J293" s="118"/>
      <c r="K293" s="118"/>
      <c r="L293" s="118"/>
      <c r="M293" s="118"/>
    </row>
    <row r="294" spans="1:13" ht="12" customHeight="1" x14ac:dyDescent="0.3">
      <c r="A294" s="118"/>
      <c r="G294" s="118"/>
      <c r="H294" s="118"/>
      <c r="I294" s="118"/>
      <c r="J294" s="118"/>
      <c r="K294" s="118"/>
      <c r="L294" s="118"/>
      <c r="M294" s="118"/>
    </row>
    <row r="295" spans="1:13" ht="12" customHeight="1" x14ac:dyDescent="0.3">
      <c r="A295" s="118"/>
      <c r="G295" s="118"/>
      <c r="H295" s="118"/>
      <c r="I295" s="118"/>
      <c r="J295" s="118"/>
      <c r="K295" s="118"/>
      <c r="L295" s="118"/>
      <c r="M295" s="118"/>
    </row>
    <row r="296" spans="1:13" ht="12" customHeight="1" x14ac:dyDescent="0.3">
      <c r="A296" s="118"/>
      <c r="G296" s="118"/>
      <c r="H296" s="118"/>
      <c r="I296" s="118"/>
      <c r="J296" s="118"/>
      <c r="K296" s="118"/>
      <c r="L296" s="118"/>
      <c r="M296" s="118"/>
    </row>
    <row r="297" spans="1:13" ht="12" customHeight="1" x14ac:dyDescent="0.3">
      <c r="A297" s="118"/>
      <c r="G297" s="118"/>
      <c r="H297" s="118"/>
      <c r="I297" s="118"/>
      <c r="J297" s="118"/>
      <c r="K297" s="118"/>
      <c r="L297" s="118"/>
      <c r="M297" s="118"/>
    </row>
    <row r="298" spans="1:13" ht="12" customHeight="1" x14ac:dyDescent="0.3">
      <c r="A298" s="118"/>
      <c r="G298" s="118"/>
      <c r="H298" s="118"/>
      <c r="I298" s="118"/>
      <c r="J298" s="118"/>
      <c r="K298" s="118"/>
      <c r="L298" s="118"/>
      <c r="M298" s="118"/>
    </row>
    <row r="299" spans="1:13" ht="12" customHeight="1" x14ac:dyDescent="0.3">
      <c r="A299" s="118"/>
      <c r="G299" s="118"/>
      <c r="H299" s="118"/>
      <c r="I299" s="118"/>
      <c r="J299" s="118"/>
      <c r="K299" s="118"/>
      <c r="L299" s="118"/>
      <c r="M299" s="118"/>
    </row>
    <row r="300" spans="1:13" ht="12" customHeight="1" x14ac:dyDescent="0.3">
      <c r="A300" s="118"/>
      <c r="G300" s="118"/>
      <c r="H300" s="118"/>
      <c r="I300" s="118"/>
      <c r="J300" s="118"/>
      <c r="K300" s="118"/>
      <c r="L300" s="118"/>
      <c r="M300" s="118"/>
    </row>
    <row r="301" spans="1:13" ht="12" customHeight="1" x14ac:dyDescent="0.3">
      <c r="A301" s="118"/>
      <c r="G301" s="118"/>
      <c r="H301" s="118"/>
      <c r="I301" s="118"/>
      <c r="J301" s="118"/>
      <c r="K301" s="118"/>
      <c r="L301" s="118"/>
      <c r="M301" s="118"/>
    </row>
    <row r="302" spans="1:13" ht="12" customHeight="1" x14ac:dyDescent="0.3">
      <c r="A302" s="118"/>
      <c r="G302" s="118"/>
      <c r="H302" s="118"/>
      <c r="I302" s="118"/>
      <c r="J302" s="118"/>
      <c r="K302" s="118"/>
      <c r="L302" s="118"/>
      <c r="M302" s="118"/>
    </row>
    <row r="303" spans="1:13" ht="12" customHeight="1" x14ac:dyDescent="0.3">
      <c r="A303" s="118"/>
      <c r="G303" s="118"/>
      <c r="H303" s="118"/>
      <c r="I303" s="118"/>
      <c r="J303" s="118"/>
      <c r="K303" s="118"/>
      <c r="L303" s="118"/>
      <c r="M303" s="118"/>
    </row>
    <row r="304" spans="1:13" ht="12" customHeight="1" x14ac:dyDescent="0.3">
      <c r="A304" s="118"/>
      <c r="G304" s="118"/>
      <c r="H304" s="118"/>
      <c r="I304" s="118"/>
      <c r="J304" s="118"/>
      <c r="K304" s="118"/>
      <c r="L304" s="118"/>
      <c r="M304" s="118"/>
    </row>
    <row r="305" spans="1:13" ht="12" customHeight="1" x14ac:dyDescent="0.3">
      <c r="A305" s="118"/>
      <c r="G305" s="118"/>
      <c r="H305" s="118"/>
      <c r="I305" s="118"/>
      <c r="J305" s="118"/>
      <c r="K305" s="118"/>
      <c r="L305" s="118"/>
      <c r="M305" s="118"/>
    </row>
    <row r="306" spans="1:13" ht="12" customHeight="1" x14ac:dyDescent="0.3">
      <c r="A306" s="118"/>
      <c r="G306" s="118"/>
      <c r="H306" s="118"/>
      <c r="I306" s="118"/>
      <c r="J306" s="118"/>
      <c r="K306" s="118"/>
      <c r="L306" s="118"/>
      <c r="M306" s="118"/>
    </row>
    <row r="307" spans="1:13" ht="12" customHeight="1" x14ac:dyDescent="0.3">
      <c r="A307" s="118"/>
      <c r="G307" s="118"/>
      <c r="H307" s="118"/>
      <c r="I307" s="118"/>
      <c r="J307" s="118"/>
      <c r="K307" s="118"/>
      <c r="L307" s="118"/>
      <c r="M307" s="118"/>
    </row>
    <row r="308" spans="1:13" ht="12" customHeight="1" x14ac:dyDescent="0.3">
      <c r="A308" s="118"/>
      <c r="G308" s="118"/>
      <c r="H308" s="118"/>
      <c r="I308" s="118"/>
      <c r="J308" s="118"/>
      <c r="K308" s="118"/>
      <c r="L308" s="118"/>
      <c r="M308" s="118"/>
    </row>
    <row r="309" spans="1:13" ht="12" customHeight="1" x14ac:dyDescent="0.3">
      <c r="A309" s="118"/>
      <c r="G309" s="118"/>
      <c r="H309" s="118"/>
      <c r="I309" s="118"/>
      <c r="J309" s="118"/>
      <c r="K309" s="118"/>
      <c r="L309" s="118"/>
      <c r="M309" s="118"/>
    </row>
    <row r="310" spans="1:13" ht="12" customHeight="1" x14ac:dyDescent="0.3">
      <c r="A310" s="118"/>
      <c r="G310" s="118"/>
      <c r="H310" s="118"/>
      <c r="I310" s="118"/>
      <c r="J310" s="118"/>
      <c r="K310" s="118"/>
      <c r="L310" s="118"/>
      <c r="M310" s="118"/>
    </row>
    <row r="311" spans="1:13" ht="12" customHeight="1" x14ac:dyDescent="0.3">
      <c r="A311" s="118"/>
      <c r="G311" s="118"/>
      <c r="H311" s="118"/>
      <c r="I311" s="118"/>
      <c r="J311" s="118"/>
      <c r="K311" s="118"/>
      <c r="L311" s="118"/>
      <c r="M311" s="118"/>
    </row>
    <row r="312" spans="1:13" ht="12" customHeight="1" x14ac:dyDescent="0.3">
      <c r="A312" s="118"/>
      <c r="G312" s="118"/>
      <c r="H312" s="118"/>
      <c r="I312" s="118"/>
      <c r="J312" s="118"/>
      <c r="K312" s="118"/>
      <c r="L312" s="118"/>
      <c r="M312" s="118"/>
    </row>
    <row r="313" spans="1:13" ht="12" customHeight="1" x14ac:dyDescent="0.3">
      <c r="A313" s="118"/>
      <c r="G313" s="118"/>
      <c r="H313" s="118"/>
      <c r="I313" s="118"/>
      <c r="J313" s="118"/>
      <c r="K313" s="118"/>
      <c r="L313" s="118"/>
      <c r="M313" s="118"/>
    </row>
    <row r="314" spans="1:13" ht="12" customHeight="1" x14ac:dyDescent="0.3">
      <c r="A314" s="118"/>
      <c r="G314" s="118"/>
      <c r="H314" s="118"/>
      <c r="I314" s="118"/>
      <c r="J314" s="118"/>
      <c r="K314" s="118"/>
      <c r="L314" s="118"/>
      <c r="M314" s="118"/>
    </row>
    <row r="315" spans="1:13" ht="12" customHeight="1" x14ac:dyDescent="0.3">
      <c r="A315" s="118"/>
      <c r="G315" s="118"/>
      <c r="H315" s="118"/>
      <c r="I315" s="118"/>
      <c r="J315" s="118"/>
      <c r="K315" s="118"/>
      <c r="L315" s="118"/>
      <c r="M315" s="118"/>
    </row>
    <row r="316" spans="1:13" ht="12" customHeight="1" x14ac:dyDescent="0.3">
      <c r="A316" s="118"/>
      <c r="G316" s="118"/>
      <c r="H316" s="118"/>
      <c r="I316" s="118"/>
      <c r="J316" s="118"/>
      <c r="K316" s="118"/>
      <c r="L316" s="118"/>
      <c r="M316" s="118"/>
    </row>
    <row r="317" spans="1:13" ht="12" customHeight="1" x14ac:dyDescent="0.3">
      <c r="A317" s="118"/>
      <c r="G317" s="118"/>
      <c r="H317" s="118"/>
      <c r="I317" s="118"/>
      <c r="J317" s="118"/>
      <c r="K317" s="118"/>
      <c r="L317" s="118"/>
      <c r="M317" s="118"/>
    </row>
    <row r="318" spans="1:13" ht="12" customHeight="1" x14ac:dyDescent="0.3">
      <c r="A318" s="118"/>
      <c r="G318" s="118"/>
      <c r="H318" s="118"/>
      <c r="I318" s="118"/>
      <c r="J318" s="118"/>
      <c r="K318" s="118"/>
      <c r="L318" s="118"/>
      <c r="M318" s="118"/>
    </row>
    <row r="319" spans="1:13" ht="12" customHeight="1" x14ac:dyDescent="0.3">
      <c r="A319" s="118"/>
      <c r="G319" s="118"/>
      <c r="H319" s="118"/>
      <c r="I319" s="118"/>
      <c r="J319" s="118"/>
      <c r="K319" s="118"/>
      <c r="L319" s="118"/>
      <c r="M319" s="118"/>
    </row>
    <row r="320" spans="1:13" ht="12" customHeight="1" x14ac:dyDescent="0.3">
      <c r="A320" s="118"/>
      <c r="G320" s="118"/>
      <c r="H320" s="118"/>
      <c r="I320" s="118"/>
      <c r="J320" s="118"/>
      <c r="K320" s="118"/>
      <c r="L320" s="118"/>
      <c r="M320" s="118"/>
    </row>
    <row r="321" spans="1:13" ht="12" customHeight="1" x14ac:dyDescent="0.3">
      <c r="A321" s="118"/>
      <c r="G321" s="118"/>
      <c r="H321" s="118"/>
      <c r="I321" s="118"/>
      <c r="J321" s="118"/>
      <c r="K321" s="118"/>
      <c r="L321" s="118"/>
      <c r="M321" s="118"/>
    </row>
    <row r="322" spans="1:13" ht="12" customHeight="1" x14ac:dyDescent="0.3">
      <c r="A322" s="118"/>
      <c r="G322" s="118"/>
      <c r="H322" s="118"/>
      <c r="I322" s="118"/>
      <c r="J322" s="118"/>
      <c r="K322" s="118"/>
      <c r="L322" s="118"/>
      <c r="M322" s="118"/>
    </row>
    <row r="323" spans="1:13" ht="12" customHeight="1" x14ac:dyDescent="0.3">
      <c r="A323" s="118"/>
      <c r="G323" s="118"/>
      <c r="H323" s="118"/>
      <c r="I323" s="118"/>
      <c r="J323" s="118"/>
      <c r="K323" s="118"/>
      <c r="L323" s="118"/>
      <c r="M323" s="118"/>
    </row>
    <row r="324" spans="1:13" ht="12" customHeight="1" x14ac:dyDescent="0.3">
      <c r="A324" s="118"/>
      <c r="G324" s="118"/>
      <c r="H324" s="118"/>
      <c r="I324" s="118"/>
      <c r="J324" s="118"/>
      <c r="K324" s="118"/>
      <c r="L324" s="118"/>
      <c r="M324" s="118"/>
    </row>
    <row r="325" spans="1:13" ht="12" customHeight="1" x14ac:dyDescent="0.3">
      <c r="A325" s="118"/>
      <c r="G325" s="118"/>
      <c r="H325" s="118"/>
      <c r="I325" s="118"/>
      <c r="J325" s="118"/>
      <c r="K325" s="118"/>
      <c r="L325" s="118"/>
      <c r="M325" s="118"/>
    </row>
    <row r="326" spans="1:13" ht="12" customHeight="1" x14ac:dyDescent="0.3">
      <c r="A326" s="118"/>
      <c r="G326" s="118"/>
      <c r="H326" s="118"/>
      <c r="I326" s="118"/>
      <c r="J326" s="118"/>
      <c r="K326" s="118"/>
      <c r="L326" s="118"/>
      <c r="M326" s="118"/>
    </row>
    <row r="327" spans="1:13" ht="12" customHeight="1" x14ac:dyDescent="0.3">
      <c r="A327" s="118"/>
      <c r="G327" s="118"/>
      <c r="H327" s="118"/>
      <c r="I327" s="118"/>
      <c r="J327" s="118"/>
      <c r="K327" s="118"/>
      <c r="L327" s="118"/>
      <c r="M327" s="118"/>
    </row>
    <row r="328" spans="1:13" ht="12" customHeight="1" x14ac:dyDescent="0.3">
      <c r="A328" s="118"/>
      <c r="G328" s="118"/>
      <c r="H328" s="118"/>
      <c r="I328" s="118"/>
      <c r="J328" s="118"/>
      <c r="K328" s="118"/>
      <c r="L328" s="118"/>
      <c r="M328" s="118"/>
    </row>
    <row r="329" spans="1:13" ht="12" customHeight="1" x14ac:dyDescent="0.3">
      <c r="A329" s="118"/>
      <c r="G329" s="118"/>
      <c r="H329" s="118"/>
      <c r="I329" s="118"/>
      <c r="J329" s="118"/>
      <c r="K329" s="118"/>
      <c r="L329" s="118"/>
      <c r="M329" s="118"/>
    </row>
    <row r="330" spans="1:13" ht="12" customHeight="1" x14ac:dyDescent="0.3">
      <c r="A330" s="118"/>
      <c r="G330" s="118"/>
      <c r="H330" s="118"/>
      <c r="I330" s="118"/>
      <c r="J330" s="118"/>
      <c r="K330" s="118"/>
      <c r="L330" s="118"/>
      <c r="M330" s="118"/>
    </row>
    <row r="331" spans="1:13" ht="12" customHeight="1" x14ac:dyDescent="0.3">
      <c r="A331" s="118"/>
      <c r="G331" s="118"/>
      <c r="H331" s="118"/>
      <c r="I331" s="118"/>
      <c r="J331" s="118"/>
      <c r="K331" s="118"/>
      <c r="L331" s="118"/>
      <c r="M331" s="118"/>
    </row>
    <row r="332" spans="1:13" ht="12" customHeight="1" x14ac:dyDescent="0.3">
      <c r="A332" s="118"/>
      <c r="G332" s="118"/>
      <c r="H332" s="118"/>
      <c r="I332" s="118"/>
      <c r="J332" s="118"/>
      <c r="K332" s="118"/>
      <c r="L332" s="118"/>
      <c r="M332" s="118"/>
    </row>
    <row r="333" spans="1:13" ht="12" customHeight="1" x14ac:dyDescent="0.3">
      <c r="A333" s="118"/>
      <c r="G333" s="118"/>
      <c r="H333" s="118"/>
      <c r="I333" s="118"/>
      <c r="J333" s="118"/>
      <c r="K333" s="118"/>
      <c r="L333" s="118"/>
      <c r="M333" s="118"/>
    </row>
    <row r="334" spans="1:13" ht="12" customHeight="1" x14ac:dyDescent="0.3">
      <c r="A334" s="118"/>
      <c r="G334" s="118"/>
      <c r="H334" s="118"/>
      <c r="I334" s="118"/>
      <c r="J334" s="118"/>
      <c r="K334" s="118"/>
      <c r="L334" s="118"/>
      <c r="M334" s="118"/>
    </row>
    <row r="335" spans="1:13" ht="12" customHeight="1" x14ac:dyDescent="0.3">
      <c r="A335" s="118"/>
      <c r="G335" s="118"/>
      <c r="H335" s="118"/>
      <c r="I335" s="118"/>
      <c r="J335" s="118"/>
      <c r="K335" s="118"/>
      <c r="L335" s="118"/>
      <c r="M335" s="118"/>
    </row>
    <row r="336" spans="1:13" ht="12" customHeight="1" x14ac:dyDescent="0.3">
      <c r="A336" s="118"/>
      <c r="G336" s="118"/>
      <c r="H336" s="118"/>
      <c r="I336" s="118"/>
      <c r="J336" s="118"/>
      <c r="K336" s="118"/>
      <c r="L336" s="118"/>
      <c r="M336" s="118"/>
    </row>
    <row r="337" spans="1:13" ht="12" customHeight="1" x14ac:dyDescent="0.3">
      <c r="A337" s="118"/>
      <c r="G337" s="118"/>
      <c r="H337" s="118"/>
      <c r="I337" s="118"/>
      <c r="J337" s="118"/>
      <c r="K337" s="118"/>
      <c r="L337" s="118"/>
      <c r="M337" s="118"/>
    </row>
    <row r="338" spans="1:13" ht="12" customHeight="1" x14ac:dyDescent="0.3">
      <c r="A338" s="118"/>
      <c r="G338" s="118"/>
      <c r="H338" s="118"/>
      <c r="I338" s="118"/>
      <c r="J338" s="118"/>
      <c r="K338" s="118"/>
      <c r="L338" s="118"/>
      <c r="M338" s="118"/>
    </row>
    <row r="339" spans="1:13" ht="12" customHeight="1" x14ac:dyDescent="0.3">
      <c r="A339" s="118"/>
      <c r="G339" s="118"/>
      <c r="H339" s="118"/>
      <c r="I339" s="118"/>
      <c r="J339" s="118"/>
      <c r="K339" s="118"/>
      <c r="L339" s="118"/>
      <c r="M339" s="118"/>
    </row>
    <row r="340" spans="1:13" ht="12" customHeight="1" x14ac:dyDescent="0.3">
      <c r="A340" s="118"/>
      <c r="G340" s="118"/>
      <c r="H340" s="118"/>
      <c r="I340" s="118"/>
      <c r="J340" s="118"/>
      <c r="K340" s="118"/>
      <c r="L340" s="118"/>
      <c r="M340" s="118"/>
    </row>
    <row r="341" spans="1:13" ht="12" customHeight="1" x14ac:dyDescent="0.3">
      <c r="A341" s="118"/>
      <c r="G341" s="118"/>
      <c r="H341" s="118"/>
      <c r="I341" s="118"/>
      <c r="J341" s="118"/>
      <c r="K341" s="118"/>
      <c r="L341" s="118"/>
      <c r="M341" s="118"/>
    </row>
    <row r="342" spans="1:13" ht="12" customHeight="1" x14ac:dyDescent="0.3">
      <c r="A342" s="118"/>
      <c r="G342" s="118"/>
      <c r="H342" s="118"/>
      <c r="I342" s="118"/>
      <c r="J342" s="118"/>
      <c r="K342" s="118"/>
      <c r="L342" s="118"/>
      <c r="M342" s="118"/>
    </row>
    <row r="343" spans="1:13" ht="12" customHeight="1" x14ac:dyDescent="0.3">
      <c r="A343" s="118"/>
      <c r="G343" s="118"/>
      <c r="H343" s="118"/>
      <c r="I343" s="118"/>
      <c r="J343" s="118"/>
      <c r="K343" s="118"/>
      <c r="L343" s="118"/>
      <c r="M343" s="118"/>
    </row>
    <row r="344" spans="1:13" ht="12" customHeight="1" x14ac:dyDescent="0.3">
      <c r="A344" s="118"/>
      <c r="G344" s="118"/>
      <c r="H344" s="118"/>
      <c r="I344" s="118"/>
      <c r="J344" s="118"/>
      <c r="K344" s="118"/>
      <c r="L344" s="118"/>
      <c r="M344" s="118"/>
    </row>
    <row r="345" spans="1:13" ht="12" customHeight="1" x14ac:dyDescent="0.3">
      <c r="A345" s="118"/>
      <c r="G345" s="118"/>
      <c r="H345" s="118"/>
      <c r="I345" s="118"/>
      <c r="J345" s="118"/>
      <c r="K345" s="118"/>
      <c r="L345" s="118"/>
      <c r="M345" s="118"/>
    </row>
    <row r="346" spans="1:13" ht="12" customHeight="1" x14ac:dyDescent="0.3">
      <c r="A346" s="118"/>
      <c r="G346" s="118"/>
      <c r="H346" s="118"/>
      <c r="I346" s="118"/>
      <c r="J346" s="118"/>
      <c r="K346" s="118"/>
      <c r="L346" s="118"/>
      <c r="M346" s="118"/>
    </row>
    <row r="347" spans="1:13" ht="12" customHeight="1" x14ac:dyDescent="0.3">
      <c r="A347" s="118"/>
      <c r="G347" s="118"/>
      <c r="H347" s="118"/>
      <c r="I347" s="118"/>
      <c r="J347" s="118"/>
      <c r="K347" s="118"/>
      <c r="L347" s="118"/>
      <c r="M347" s="118"/>
    </row>
    <row r="348" spans="1:13" ht="12" customHeight="1" x14ac:dyDescent="0.3">
      <c r="A348" s="118"/>
      <c r="G348" s="118"/>
      <c r="H348" s="118"/>
      <c r="I348" s="118"/>
      <c r="J348" s="118"/>
      <c r="K348" s="118"/>
      <c r="L348" s="118"/>
      <c r="M348" s="118"/>
    </row>
    <row r="349" spans="1:13" ht="12" customHeight="1" x14ac:dyDescent="0.3">
      <c r="A349" s="118"/>
      <c r="G349" s="118"/>
      <c r="H349" s="118"/>
      <c r="I349" s="118"/>
      <c r="J349" s="118"/>
      <c r="K349" s="118"/>
      <c r="L349" s="118"/>
      <c r="M349" s="118"/>
    </row>
    <row r="350" spans="1:13" ht="12" customHeight="1" x14ac:dyDescent="0.3">
      <c r="A350" s="118"/>
      <c r="G350" s="118"/>
      <c r="H350" s="118"/>
      <c r="I350" s="118"/>
      <c r="J350" s="118"/>
      <c r="K350" s="118"/>
      <c r="L350" s="118"/>
      <c r="M350" s="118"/>
    </row>
    <row r="351" spans="1:13" ht="12" customHeight="1" x14ac:dyDescent="0.3">
      <c r="A351" s="118"/>
      <c r="G351" s="118"/>
      <c r="H351" s="118"/>
      <c r="I351" s="118"/>
      <c r="J351" s="118"/>
      <c r="K351" s="118"/>
      <c r="L351" s="118"/>
      <c r="M351" s="118"/>
    </row>
    <row r="352" spans="1:13" ht="12" customHeight="1" x14ac:dyDescent="0.3">
      <c r="A352" s="118"/>
      <c r="G352" s="118"/>
      <c r="H352" s="118"/>
      <c r="I352" s="118"/>
      <c r="J352" s="118"/>
      <c r="K352" s="118"/>
      <c r="L352" s="118"/>
      <c r="M352" s="118"/>
    </row>
    <row r="353" spans="1:13" ht="12" customHeight="1" x14ac:dyDescent="0.3">
      <c r="A353" s="118"/>
      <c r="G353" s="118"/>
      <c r="H353" s="118"/>
      <c r="I353" s="118"/>
      <c r="J353" s="118"/>
      <c r="K353" s="118"/>
      <c r="L353" s="118"/>
      <c r="M353" s="118"/>
    </row>
    <row r="354" spans="1:13" ht="12" customHeight="1" x14ac:dyDescent="0.3">
      <c r="A354" s="118"/>
      <c r="G354" s="118"/>
      <c r="H354" s="118"/>
      <c r="I354" s="118"/>
      <c r="J354" s="118"/>
      <c r="K354" s="118"/>
      <c r="L354" s="118"/>
      <c r="M354" s="118"/>
    </row>
    <row r="355" spans="1:13" ht="12" customHeight="1" x14ac:dyDescent="0.3">
      <c r="A355" s="118"/>
      <c r="G355" s="118"/>
      <c r="H355" s="118"/>
      <c r="I355" s="118"/>
      <c r="J355" s="118"/>
      <c r="K355" s="118"/>
      <c r="L355" s="118"/>
      <c r="M355" s="118"/>
    </row>
    <row r="356" spans="1:13" ht="12" customHeight="1" x14ac:dyDescent="0.3">
      <c r="A356" s="118"/>
      <c r="G356" s="118"/>
      <c r="H356" s="118"/>
      <c r="I356" s="118"/>
      <c r="J356" s="118"/>
      <c r="K356" s="118"/>
      <c r="L356" s="118"/>
      <c r="M356" s="118"/>
    </row>
    <row r="357" spans="1:13" ht="12" customHeight="1" x14ac:dyDescent="0.3">
      <c r="A357" s="118"/>
      <c r="G357" s="118"/>
      <c r="H357" s="118"/>
      <c r="I357" s="118"/>
      <c r="J357" s="118"/>
      <c r="K357" s="118"/>
      <c r="L357" s="118"/>
      <c r="M357" s="118"/>
    </row>
    <row r="358" spans="1:13" ht="12" customHeight="1" x14ac:dyDescent="0.3">
      <c r="A358" s="118"/>
      <c r="G358" s="118"/>
      <c r="H358" s="118"/>
      <c r="I358" s="118"/>
      <c r="J358" s="118"/>
      <c r="K358" s="118"/>
      <c r="L358" s="118"/>
      <c r="M358" s="118"/>
    </row>
    <row r="359" spans="1:13" ht="12" customHeight="1" x14ac:dyDescent="0.3">
      <c r="A359" s="118"/>
      <c r="G359" s="118"/>
      <c r="H359" s="118"/>
      <c r="I359" s="118"/>
      <c r="J359" s="118"/>
      <c r="K359" s="118"/>
      <c r="L359" s="118"/>
      <c r="M359" s="118"/>
    </row>
    <row r="360" spans="1:13" ht="12" customHeight="1" x14ac:dyDescent="0.3">
      <c r="A360" s="118"/>
      <c r="G360" s="118"/>
      <c r="H360" s="118"/>
      <c r="I360" s="118"/>
      <c r="J360" s="118"/>
      <c r="K360" s="118"/>
      <c r="L360" s="118"/>
      <c r="M360" s="118"/>
    </row>
    <row r="361" spans="1:13" ht="12" customHeight="1" x14ac:dyDescent="0.3">
      <c r="A361" s="118"/>
      <c r="G361" s="118"/>
      <c r="H361" s="118"/>
      <c r="I361" s="118"/>
      <c r="J361" s="118"/>
      <c r="K361" s="118"/>
      <c r="L361" s="118"/>
      <c r="M361" s="118"/>
    </row>
    <row r="362" spans="1:13" ht="12" customHeight="1" x14ac:dyDescent="0.3">
      <c r="A362" s="118"/>
      <c r="G362" s="118"/>
      <c r="H362" s="118"/>
      <c r="I362" s="118"/>
      <c r="J362" s="118"/>
      <c r="K362" s="118"/>
      <c r="L362" s="118"/>
      <c r="M362" s="118"/>
    </row>
    <row r="363" spans="1:13" ht="12" customHeight="1" x14ac:dyDescent="0.3">
      <c r="A363" s="118"/>
      <c r="G363" s="118"/>
      <c r="H363" s="118"/>
      <c r="I363" s="118"/>
      <c r="J363" s="118"/>
      <c r="K363" s="118"/>
      <c r="L363" s="118"/>
      <c r="M363" s="118"/>
    </row>
    <row r="364" spans="1:13" ht="12" customHeight="1" x14ac:dyDescent="0.3">
      <c r="A364" s="118"/>
      <c r="G364" s="118"/>
      <c r="H364" s="118"/>
      <c r="I364" s="118"/>
      <c r="J364" s="118"/>
      <c r="K364" s="118"/>
      <c r="L364" s="118"/>
      <c r="M364" s="118"/>
    </row>
    <row r="365" spans="1:13" ht="12" customHeight="1" x14ac:dyDescent="0.3">
      <c r="A365" s="118"/>
      <c r="G365" s="118"/>
      <c r="H365" s="118"/>
      <c r="I365" s="118"/>
      <c r="J365" s="118"/>
      <c r="K365" s="118"/>
      <c r="L365" s="118"/>
      <c r="M365" s="118"/>
    </row>
    <row r="366" spans="1:13" ht="12" customHeight="1" x14ac:dyDescent="0.3">
      <c r="A366" s="118"/>
      <c r="G366" s="118"/>
      <c r="H366" s="118"/>
      <c r="I366" s="118"/>
      <c r="J366" s="118"/>
      <c r="K366" s="118"/>
      <c r="L366" s="118"/>
      <c r="M366" s="118"/>
    </row>
    <row r="367" spans="1:13" ht="12" customHeight="1" x14ac:dyDescent="0.3">
      <c r="A367" s="118"/>
      <c r="G367" s="118"/>
      <c r="H367" s="118"/>
      <c r="I367" s="118"/>
      <c r="J367" s="118"/>
      <c r="K367" s="118"/>
      <c r="L367" s="118"/>
      <c r="M367" s="118"/>
    </row>
    <row r="368" spans="1:13" ht="12" customHeight="1" x14ac:dyDescent="0.3">
      <c r="A368" s="118"/>
      <c r="G368" s="118"/>
      <c r="H368" s="118"/>
      <c r="I368" s="118"/>
      <c r="J368" s="118"/>
      <c r="K368" s="118"/>
      <c r="L368" s="118"/>
      <c r="M368" s="118"/>
    </row>
    <row r="369" spans="1:13" ht="12" customHeight="1" x14ac:dyDescent="0.3">
      <c r="A369" s="118"/>
      <c r="G369" s="118"/>
      <c r="H369" s="118"/>
      <c r="I369" s="118"/>
      <c r="J369" s="118"/>
      <c r="K369" s="118"/>
      <c r="L369" s="118"/>
      <c r="M369" s="118"/>
    </row>
    <row r="370" spans="1:13" ht="12" customHeight="1" x14ac:dyDescent="0.3">
      <c r="A370" s="118"/>
      <c r="G370" s="118"/>
      <c r="H370" s="118"/>
      <c r="I370" s="118"/>
      <c r="J370" s="118"/>
      <c r="K370" s="118"/>
      <c r="L370" s="118"/>
      <c r="M370" s="118"/>
    </row>
    <row r="371" spans="1:13" ht="12" customHeight="1" x14ac:dyDescent="0.3">
      <c r="A371" s="118"/>
      <c r="G371" s="118"/>
      <c r="H371" s="118"/>
      <c r="I371" s="118"/>
      <c r="J371" s="118"/>
      <c r="K371" s="118"/>
      <c r="L371" s="118"/>
      <c r="M371" s="118"/>
    </row>
    <row r="372" spans="1:13" ht="12" customHeight="1" x14ac:dyDescent="0.3">
      <c r="A372" s="118"/>
      <c r="G372" s="118"/>
      <c r="H372" s="118"/>
      <c r="I372" s="118"/>
      <c r="J372" s="118"/>
      <c r="K372" s="118"/>
      <c r="L372" s="118"/>
      <c r="M372" s="118"/>
    </row>
    <row r="373" spans="1:13" ht="12" customHeight="1" x14ac:dyDescent="0.3">
      <c r="A373" s="118"/>
      <c r="G373" s="118"/>
      <c r="H373" s="118"/>
      <c r="I373" s="118"/>
      <c r="J373" s="118"/>
      <c r="K373" s="118"/>
      <c r="L373" s="118"/>
      <c r="M373" s="118"/>
    </row>
    <row r="374" spans="1:13" ht="12" customHeight="1" x14ac:dyDescent="0.3">
      <c r="A374" s="118"/>
      <c r="G374" s="118"/>
      <c r="H374" s="118"/>
      <c r="I374" s="118"/>
      <c r="J374" s="118"/>
      <c r="K374" s="118"/>
      <c r="L374" s="118"/>
      <c r="M374" s="118"/>
    </row>
    <row r="375" spans="1:13" ht="12" customHeight="1" x14ac:dyDescent="0.3">
      <c r="A375" s="118"/>
      <c r="G375" s="118"/>
      <c r="H375" s="118"/>
      <c r="I375" s="118"/>
      <c r="J375" s="118"/>
      <c r="K375" s="118"/>
      <c r="L375" s="118"/>
      <c r="M375" s="118"/>
    </row>
    <row r="376" spans="1:13" ht="12" customHeight="1" x14ac:dyDescent="0.3">
      <c r="A376" s="118"/>
      <c r="G376" s="118"/>
      <c r="H376" s="118"/>
      <c r="I376" s="118"/>
      <c r="J376" s="118"/>
      <c r="K376" s="118"/>
      <c r="L376" s="118"/>
      <c r="M376" s="118"/>
    </row>
    <row r="377" spans="1:13" ht="12" customHeight="1" x14ac:dyDescent="0.3">
      <c r="A377" s="118"/>
      <c r="G377" s="118"/>
      <c r="H377" s="118"/>
      <c r="I377" s="118"/>
      <c r="J377" s="118"/>
      <c r="K377" s="118"/>
      <c r="L377" s="118"/>
      <c r="M377" s="118"/>
    </row>
    <row r="378" spans="1:13" ht="12" customHeight="1" x14ac:dyDescent="0.3">
      <c r="A378" s="118"/>
      <c r="G378" s="118"/>
      <c r="H378" s="118"/>
      <c r="I378" s="118"/>
      <c r="J378" s="118"/>
      <c r="K378" s="118"/>
      <c r="L378" s="118"/>
      <c r="M378" s="118"/>
    </row>
    <row r="379" spans="1:13" ht="12" customHeight="1" x14ac:dyDescent="0.3">
      <c r="A379" s="118"/>
      <c r="G379" s="118"/>
      <c r="H379" s="118"/>
      <c r="I379" s="118"/>
      <c r="J379" s="118"/>
      <c r="K379" s="118"/>
      <c r="L379" s="118"/>
      <c r="M379" s="118"/>
    </row>
    <row r="380" spans="1:13" ht="12" customHeight="1" x14ac:dyDescent="0.3">
      <c r="A380" s="118"/>
      <c r="G380" s="118"/>
      <c r="H380" s="118"/>
      <c r="I380" s="118"/>
      <c r="J380" s="118"/>
      <c r="K380" s="118"/>
      <c r="L380" s="118"/>
      <c r="M380" s="118"/>
    </row>
    <row r="381" spans="1:13" ht="12" customHeight="1" x14ac:dyDescent="0.3">
      <c r="A381" s="118"/>
      <c r="G381" s="118"/>
      <c r="H381" s="118"/>
      <c r="I381" s="118"/>
      <c r="J381" s="118"/>
      <c r="K381" s="118"/>
      <c r="L381" s="118"/>
      <c r="M381" s="118"/>
    </row>
    <row r="382" spans="1:13" ht="12" customHeight="1" x14ac:dyDescent="0.3">
      <c r="A382" s="118"/>
      <c r="G382" s="118"/>
      <c r="H382" s="118"/>
      <c r="I382" s="118"/>
      <c r="J382" s="118"/>
      <c r="K382" s="118"/>
      <c r="L382" s="118"/>
      <c r="M382" s="118"/>
    </row>
    <row r="383" spans="1:13" ht="12" customHeight="1" x14ac:dyDescent="0.3">
      <c r="A383" s="118"/>
      <c r="G383" s="118"/>
      <c r="H383" s="118"/>
      <c r="I383" s="118"/>
      <c r="J383" s="118"/>
      <c r="K383" s="118"/>
      <c r="L383" s="118"/>
      <c r="M383" s="118"/>
    </row>
    <row r="384" spans="1:13" ht="12" customHeight="1" x14ac:dyDescent="0.3">
      <c r="A384" s="118"/>
      <c r="G384" s="118"/>
      <c r="H384" s="118"/>
      <c r="I384" s="118"/>
      <c r="J384" s="118"/>
      <c r="K384" s="118"/>
      <c r="L384" s="118"/>
      <c r="M384" s="118"/>
    </row>
    <row r="385" spans="1:13" ht="12" customHeight="1" x14ac:dyDescent="0.3">
      <c r="A385" s="118"/>
      <c r="G385" s="118"/>
      <c r="H385" s="118"/>
      <c r="I385" s="118"/>
      <c r="J385" s="118"/>
      <c r="K385" s="118"/>
      <c r="L385" s="118"/>
      <c r="M385" s="118"/>
    </row>
    <row r="386" spans="1:13" ht="12" customHeight="1" x14ac:dyDescent="0.3">
      <c r="A386" s="118"/>
      <c r="G386" s="118"/>
      <c r="H386" s="118"/>
      <c r="I386" s="118"/>
      <c r="J386" s="118"/>
      <c r="K386" s="118"/>
      <c r="L386" s="118"/>
      <c r="M386" s="118"/>
    </row>
    <row r="387" spans="1:13" ht="12" customHeight="1" x14ac:dyDescent="0.3">
      <c r="A387" s="118"/>
      <c r="G387" s="118"/>
      <c r="H387" s="118"/>
      <c r="I387" s="118"/>
      <c r="J387" s="118"/>
      <c r="K387" s="118"/>
      <c r="L387" s="118"/>
      <c r="M387" s="118"/>
    </row>
    <row r="388" spans="1:13" ht="12" customHeight="1" x14ac:dyDescent="0.3">
      <c r="A388" s="118"/>
      <c r="G388" s="118"/>
      <c r="H388" s="118"/>
      <c r="I388" s="118"/>
      <c r="J388" s="118"/>
      <c r="K388" s="118"/>
      <c r="L388" s="118"/>
      <c r="M388" s="118"/>
    </row>
    <row r="389" spans="1:13" ht="12" customHeight="1" x14ac:dyDescent="0.3">
      <c r="A389" s="118"/>
      <c r="G389" s="118"/>
      <c r="H389" s="118"/>
      <c r="I389" s="118"/>
      <c r="J389" s="118"/>
      <c r="K389" s="118"/>
      <c r="L389" s="118"/>
      <c r="M389" s="118"/>
    </row>
    <row r="390" spans="1:13" ht="12" customHeight="1" x14ac:dyDescent="0.3">
      <c r="A390" s="118"/>
      <c r="G390" s="118"/>
      <c r="H390" s="118"/>
      <c r="I390" s="118"/>
      <c r="J390" s="118"/>
      <c r="K390" s="118"/>
      <c r="L390" s="118"/>
      <c r="M390" s="118"/>
    </row>
    <row r="391" spans="1:13" ht="12" customHeight="1" x14ac:dyDescent="0.3">
      <c r="A391" s="118"/>
      <c r="G391" s="118"/>
      <c r="H391" s="118"/>
      <c r="I391" s="118"/>
      <c r="J391" s="118"/>
      <c r="K391" s="118"/>
      <c r="L391" s="118"/>
      <c r="M391" s="118"/>
    </row>
    <row r="392" spans="1:13" ht="12" customHeight="1" x14ac:dyDescent="0.3">
      <c r="A392" s="118"/>
      <c r="G392" s="118"/>
      <c r="H392" s="118"/>
      <c r="I392" s="118"/>
      <c r="J392" s="118"/>
      <c r="K392" s="118"/>
      <c r="L392" s="118"/>
      <c r="M392" s="118"/>
    </row>
    <row r="393" spans="1:13" ht="12" customHeight="1" x14ac:dyDescent="0.3">
      <c r="A393" s="118"/>
      <c r="G393" s="118"/>
      <c r="H393" s="118"/>
      <c r="I393" s="118"/>
      <c r="J393" s="118"/>
      <c r="K393" s="118"/>
      <c r="L393" s="118"/>
      <c r="M393" s="118"/>
    </row>
    <row r="394" spans="1:13" ht="12" customHeight="1" x14ac:dyDescent="0.3">
      <c r="A394" s="118"/>
      <c r="G394" s="118"/>
      <c r="H394" s="118"/>
      <c r="I394" s="118"/>
      <c r="J394" s="118"/>
      <c r="K394" s="118"/>
      <c r="L394" s="118"/>
      <c r="M394" s="118"/>
    </row>
    <row r="395" spans="1:13" ht="12" customHeight="1" x14ac:dyDescent="0.3">
      <c r="A395" s="118"/>
      <c r="G395" s="118"/>
      <c r="H395" s="118"/>
      <c r="I395" s="118"/>
      <c r="J395" s="118"/>
      <c r="K395" s="118"/>
      <c r="L395" s="118"/>
      <c r="M395" s="118"/>
    </row>
    <row r="396" spans="1:13" ht="12" customHeight="1" x14ac:dyDescent="0.3">
      <c r="A396" s="118"/>
      <c r="G396" s="118"/>
      <c r="H396" s="118"/>
      <c r="I396" s="118"/>
      <c r="J396" s="118"/>
      <c r="K396" s="118"/>
      <c r="L396" s="118"/>
      <c r="M396" s="118"/>
    </row>
    <row r="397" spans="1:13" ht="12" customHeight="1" x14ac:dyDescent="0.3">
      <c r="A397" s="118"/>
      <c r="G397" s="118"/>
      <c r="H397" s="118"/>
      <c r="I397" s="118"/>
      <c r="J397" s="118"/>
      <c r="K397" s="118"/>
      <c r="L397" s="118"/>
      <c r="M397" s="118"/>
    </row>
    <row r="398" spans="1:13" ht="12" customHeight="1" x14ac:dyDescent="0.3">
      <c r="A398" s="118"/>
      <c r="G398" s="118"/>
      <c r="H398" s="118"/>
      <c r="I398" s="118"/>
      <c r="J398" s="118"/>
      <c r="K398" s="118"/>
      <c r="L398" s="118"/>
      <c r="M398" s="118"/>
    </row>
    <row r="399" spans="1:13" ht="12" customHeight="1" x14ac:dyDescent="0.3">
      <c r="A399" s="118"/>
      <c r="G399" s="118"/>
      <c r="H399" s="118"/>
      <c r="I399" s="118"/>
      <c r="J399" s="118"/>
      <c r="K399" s="118"/>
      <c r="L399" s="118"/>
      <c r="M399" s="118"/>
    </row>
    <row r="400" spans="1:13" ht="12" customHeight="1" x14ac:dyDescent="0.3">
      <c r="A400" s="118"/>
      <c r="G400" s="118"/>
      <c r="H400" s="118"/>
      <c r="I400" s="118"/>
      <c r="J400" s="118"/>
      <c r="K400" s="118"/>
      <c r="L400" s="118"/>
      <c r="M400" s="118"/>
    </row>
    <row r="401" spans="1:13" ht="12" customHeight="1" x14ac:dyDescent="0.3">
      <c r="A401" s="118"/>
      <c r="G401" s="118"/>
      <c r="H401" s="118"/>
      <c r="I401" s="118"/>
      <c r="J401" s="118"/>
      <c r="K401" s="118"/>
      <c r="L401" s="118"/>
      <c r="M401" s="118"/>
    </row>
    <row r="402" spans="1:13" ht="12" customHeight="1" x14ac:dyDescent="0.3">
      <c r="A402" s="118"/>
      <c r="G402" s="118"/>
      <c r="H402" s="118"/>
      <c r="I402" s="118"/>
      <c r="J402" s="118"/>
      <c r="K402" s="118"/>
      <c r="L402" s="118"/>
      <c r="M402" s="118"/>
    </row>
    <row r="403" spans="1:13" ht="12" customHeight="1" x14ac:dyDescent="0.3">
      <c r="A403" s="118"/>
      <c r="G403" s="118"/>
      <c r="H403" s="118"/>
      <c r="I403" s="118"/>
      <c r="J403" s="118"/>
      <c r="K403" s="118"/>
      <c r="L403" s="118"/>
      <c r="M403" s="118"/>
    </row>
    <row r="404" spans="1:13" ht="12" customHeight="1" x14ac:dyDescent="0.3">
      <c r="A404" s="118"/>
      <c r="G404" s="118"/>
      <c r="H404" s="118"/>
      <c r="I404" s="118"/>
      <c r="J404" s="118"/>
      <c r="K404" s="118"/>
      <c r="L404" s="118"/>
      <c r="M404" s="118"/>
    </row>
    <row r="405" spans="1:13" ht="12" customHeight="1" x14ac:dyDescent="0.3">
      <c r="A405" s="118"/>
      <c r="G405" s="118"/>
      <c r="H405" s="118"/>
      <c r="I405" s="118"/>
      <c r="J405" s="118"/>
      <c r="K405" s="118"/>
      <c r="L405" s="118"/>
      <c r="M405" s="118"/>
    </row>
    <row r="406" spans="1:13" ht="12" customHeight="1" x14ac:dyDescent="0.3">
      <c r="A406" s="118"/>
      <c r="G406" s="118"/>
      <c r="H406" s="118"/>
      <c r="I406" s="118"/>
      <c r="J406" s="118"/>
      <c r="K406" s="118"/>
      <c r="L406" s="118"/>
      <c r="M406" s="118"/>
    </row>
    <row r="407" spans="1:13" ht="12" customHeight="1" x14ac:dyDescent="0.3">
      <c r="A407" s="118"/>
      <c r="G407" s="118"/>
      <c r="H407" s="118"/>
      <c r="I407" s="118"/>
      <c r="J407" s="118"/>
      <c r="K407" s="118"/>
      <c r="L407" s="118"/>
      <c r="M407" s="118"/>
    </row>
    <row r="408" spans="1:13" ht="12" customHeight="1" x14ac:dyDescent="0.3">
      <c r="A408" s="118"/>
      <c r="G408" s="118"/>
      <c r="H408" s="118"/>
      <c r="I408" s="118"/>
      <c r="J408" s="118"/>
      <c r="K408" s="118"/>
      <c r="L408" s="118"/>
      <c r="M408" s="118"/>
    </row>
    <row r="409" spans="1:13" ht="12" customHeight="1" x14ac:dyDescent="0.3">
      <c r="A409" s="118"/>
      <c r="G409" s="118"/>
      <c r="H409" s="118"/>
      <c r="I409" s="118"/>
      <c r="J409" s="118"/>
      <c r="K409" s="118"/>
      <c r="L409" s="118"/>
      <c r="M409" s="118"/>
    </row>
    <row r="410" spans="1:13" ht="12" customHeight="1" x14ac:dyDescent="0.3">
      <c r="A410" s="118"/>
      <c r="G410" s="118"/>
      <c r="H410" s="118"/>
      <c r="I410" s="118"/>
      <c r="J410" s="118"/>
      <c r="K410" s="118"/>
      <c r="L410" s="118"/>
      <c r="M410" s="118"/>
    </row>
    <row r="411" spans="1:13" ht="12" customHeight="1" x14ac:dyDescent="0.3">
      <c r="A411" s="118"/>
      <c r="G411" s="118"/>
      <c r="H411" s="118"/>
      <c r="I411" s="118"/>
      <c r="J411" s="118"/>
      <c r="K411" s="118"/>
      <c r="L411" s="118"/>
      <c r="M411" s="118"/>
    </row>
    <row r="412" spans="1:13" ht="12" customHeight="1" x14ac:dyDescent="0.3">
      <c r="A412" s="118"/>
      <c r="G412" s="118"/>
      <c r="H412" s="118"/>
      <c r="I412" s="118"/>
      <c r="J412" s="118"/>
      <c r="K412" s="118"/>
      <c r="L412" s="118"/>
      <c r="M412" s="118"/>
    </row>
    <row r="413" spans="1:13" ht="12" customHeight="1" x14ac:dyDescent="0.3">
      <c r="A413" s="118"/>
      <c r="G413" s="118"/>
      <c r="H413" s="118"/>
      <c r="I413" s="118"/>
      <c r="J413" s="118"/>
      <c r="K413" s="118"/>
      <c r="L413" s="118"/>
      <c r="M413" s="118"/>
    </row>
    <row r="414" spans="1:13" ht="12" customHeight="1" x14ac:dyDescent="0.3">
      <c r="A414" s="118"/>
      <c r="G414" s="118"/>
      <c r="H414" s="118"/>
      <c r="I414" s="118"/>
      <c r="J414" s="118"/>
      <c r="K414" s="118"/>
      <c r="L414" s="118"/>
      <c r="M414" s="118"/>
    </row>
    <row r="415" spans="1:13" ht="12" customHeight="1" x14ac:dyDescent="0.3">
      <c r="A415" s="118"/>
      <c r="G415" s="118"/>
      <c r="H415" s="118"/>
      <c r="I415" s="118"/>
      <c r="J415" s="118"/>
      <c r="K415" s="118"/>
      <c r="L415" s="118"/>
      <c r="M415" s="118"/>
    </row>
    <row r="416" spans="1:13" ht="12" customHeight="1" x14ac:dyDescent="0.3">
      <c r="A416" s="118"/>
      <c r="G416" s="118"/>
      <c r="H416" s="118"/>
      <c r="I416" s="118"/>
      <c r="J416" s="118"/>
      <c r="K416" s="118"/>
      <c r="L416" s="118"/>
      <c r="M416" s="118"/>
    </row>
    <row r="417" spans="1:13" ht="12" customHeight="1" x14ac:dyDescent="0.3">
      <c r="A417" s="118"/>
      <c r="G417" s="118"/>
      <c r="H417" s="118"/>
      <c r="I417" s="118"/>
      <c r="J417" s="118"/>
      <c r="K417" s="118"/>
      <c r="L417" s="118"/>
      <c r="M417" s="118"/>
    </row>
    <row r="418" spans="1:13" ht="12" customHeight="1" x14ac:dyDescent="0.3">
      <c r="A418" s="118"/>
      <c r="G418" s="118"/>
      <c r="H418" s="118"/>
      <c r="I418" s="118"/>
      <c r="J418" s="118"/>
      <c r="K418" s="118"/>
      <c r="L418" s="118"/>
      <c r="M418" s="118"/>
    </row>
    <row r="419" spans="1:13" ht="12" customHeight="1" x14ac:dyDescent="0.3">
      <c r="A419" s="118"/>
      <c r="G419" s="118"/>
      <c r="H419" s="118"/>
      <c r="I419" s="118"/>
      <c r="J419" s="118"/>
      <c r="K419" s="118"/>
      <c r="L419" s="118"/>
      <c r="M419" s="118"/>
    </row>
    <row r="420" spans="1:13" ht="12" customHeight="1" x14ac:dyDescent="0.3">
      <c r="A420" s="118"/>
      <c r="G420" s="118"/>
      <c r="H420" s="118"/>
      <c r="I420" s="118"/>
      <c r="J420" s="118"/>
      <c r="K420" s="118"/>
      <c r="L420" s="118"/>
      <c r="M420" s="118"/>
    </row>
    <row r="421" spans="1:13" ht="12" customHeight="1" x14ac:dyDescent="0.3">
      <c r="A421" s="118"/>
      <c r="G421" s="118"/>
      <c r="H421" s="118"/>
      <c r="I421" s="118"/>
      <c r="J421" s="118"/>
      <c r="K421" s="118"/>
      <c r="L421" s="118"/>
      <c r="M421" s="118"/>
    </row>
    <row r="422" spans="1:13" ht="12" customHeight="1" x14ac:dyDescent="0.3">
      <c r="A422" s="118"/>
      <c r="G422" s="118"/>
      <c r="H422" s="118"/>
      <c r="I422" s="118"/>
      <c r="J422" s="118"/>
      <c r="K422" s="118"/>
      <c r="L422" s="118"/>
      <c r="M422" s="118"/>
    </row>
    <row r="423" spans="1:13" ht="12" customHeight="1" x14ac:dyDescent="0.3">
      <c r="A423" s="118"/>
      <c r="G423" s="118"/>
      <c r="H423" s="118"/>
      <c r="I423" s="118"/>
      <c r="J423" s="118"/>
      <c r="K423" s="118"/>
      <c r="L423" s="118"/>
      <c r="M423" s="118"/>
    </row>
    <row r="424" spans="1:13" ht="12" customHeight="1" x14ac:dyDescent="0.3">
      <c r="A424" s="118"/>
      <c r="G424" s="118"/>
      <c r="H424" s="118"/>
      <c r="I424" s="118"/>
      <c r="J424" s="118"/>
      <c r="K424" s="118"/>
      <c r="L424" s="118"/>
      <c r="M424" s="118"/>
    </row>
    <row r="425" spans="1:13" ht="12" customHeight="1" x14ac:dyDescent="0.3">
      <c r="A425" s="118"/>
      <c r="G425" s="118"/>
      <c r="H425" s="118"/>
      <c r="I425" s="118"/>
      <c r="J425" s="118"/>
      <c r="K425" s="118"/>
      <c r="L425" s="118"/>
      <c r="M425" s="118"/>
    </row>
    <row r="426" spans="1:13" ht="12" customHeight="1" x14ac:dyDescent="0.3">
      <c r="A426" s="118"/>
      <c r="G426" s="118"/>
      <c r="H426" s="118"/>
      <c r="I426" s="118"/>
      <c r="J426" s="118"/>
      <c r="K426" s="118"/>
      <c r="L426" s="118"/>
      <c r="M426" s="118"/>
    </row>
    <row r="427" spans="1:13" ht="12" customHeight="1" x14ac:dyDescent="0.3">
      <c r="A427" s="118"/>
      <c r="G427" s="118"/>
      <c r="H427" s="118"/>
      <c r="I427" s="118"/>
      <c r="J427" s="118"/>
      <c r="K427" s="118"/>
      <c r="L427" s="118"/>
      <c r="M427" s="118"/>
    </row>
    <row r="428" spans="1:13" ht="12" customHeight="1" x14ac:dyDescent="0.3">
      <c r="A428" s="118"/>
      <c r="G428" s="118"/>
      <c r="H428" s="118"/>
      <c r="I428" s="118"/>
      <c r="J428" s="118"/>
      <c r="K428" s="118"/>
      <c r="L428" s="118"/>
      <c r="M428" s="118"/>
    </row>
    <row r="429" spans="1:13" ht="12" customHeight="1" x14ac:dyDescent="0.3">
      <c r="A429" s="118"/>
      <c r="G429" s="118"/>
      <c r="H429" s="118"/>
      <c r="I429" s="118"/>
      <c r="J429" s="118"/>
      <c r="K429" s="118"/>
      <c r="L429" s="118"/>
      <c r="M429" s="118"/>
    </row>
    <row r="430" spans="1:13" ht="12" customHeight="1" x14ac:dyDescent="0.3">
      <c r="A430" s="118"/>
      <c r="G430" s="118"/>
      <c r="H430" s="118"/>
      <c r="I430" s="118"/>
      <c r="J430" s="118"/>
      <c r="K430" s="118"/>
      <c r="L430" s="118"/>
      <c r="M430" s="118"/>
    </row>
    <row r="431" spans="1:13" ht="12" customHeight="1" x14ac:dyDescent="0.3">
      <c r="A431" s="118"/>
      <c r="G431" s="118"/>
      <c r="H431" s="118"/>
      <c r="I431" s="118"/>
      <c r="J431" s="118"/>
      <c r="K431" s="118"/>
      <c r="L431" s="118"/>
      <c r="M431" s="118"/>
    </row>
    <row r="432" spans="1:13" ht="12" customHeight="1" x14ac:dyDescent="0.3">
      <c r="A432" s="118"/>
      <c r="G432" s="118"/>
      <c r="H432" s="118"/>
      <c r="I432" s="118"/>
      <c r="J432" s="118"/>
      <c r="K432" s="118"/>
      <c r="L432" s="118"/>
      <c r="M432" s="118"/>
    </row>
    <row r="433" spans="1:13" ht="12" customHeight="1" x14ac:dyDescent="0.3">
      <c r="A433" s="118"/>
      <c r="G433" s="118"/>
      <c r="H433" s="118"/>
      <c r="I433" s="118"/>
      <c r="J433" s="118"/>
      <c r="K433" s="118"/>
      <c r="L433" s="118"/>
      <c r="M433" s="118"/>
    </row>
    <row r="434" spans="1:13" ht="12" customHeight="1" x14ac:dyDescent="0.3">
      <c r="A434" s="118"/>
      <c r="G434" s="118"/>
      <c r="H434" s="118"/>
      <c r="I434" s="118"/>
      <c r="J434" s="118"/>
      <c r="K434" s="118"/>
      <c r="L434" s="118"/>
      <c r="M434" s="118"/>
    </row>
    <row r="435" spans="1:13" ht="12" customHeight="1" x14ac:dyDescent="0.3">
      <c r="A435" s="118"/>
      <c r="G435" s="118"/>
      <c r="H435" s="118"/>
      <c r="I435" s="118"/>
      <c r="J435" s="118"/>
      <c r="K435" s="118"/>
      <c r="L435" s="118"/>
      <c r="M435" s="118"/>
    </row>
    <row r="436" spans="1:13" ht="12" customHeight="1" x14ac:dyDescent="0.3">
      <c r="A436" s="118"/>
      <c r="G436" s="118"/>
      <c r="H436" s="118"/>
      <c r="I436" s="118"/>
      <c r="J436" s="118"/>
      <c r="K436" s="118"/>
      <c r="L436" s="118"/>
      <c r="M436" s="118"/>
    </row>
    <row r="437" spans="1:13" ht="12" customHeight="1" x14ac:dyDescent="0.3">
      <c r="A437" s="118"/>
      <c r="G437" s="118"/>
      <c r="H437" s="118"/>
      <c r="I437" s="118"/>
      <c r="J437" s="118"/>
      <c r="K437" s="118"/>
      <c r="L437" s="118"/>
      <c r="M437" s="118"/>
    </row>
    <row r="438" spans="1:13" ht="12" customHeight="1" x14ac:dyDescent="0.3">
      <c r="A438" s="118"/>
      <c r="G438" s="118"/>
      <c r="H438" s="118"/>
      <c r="I438" s="118"/>
      <c r="J438" s="118"/>
      <c r="K438" s="118"/>
      <c r="L438" s="118"/>
      <c r="M438" s="118"/>
    </row>
    <row r="439" spans="1:13" ht="12" customHeight="1" x14ac:dyDescent="0.3">
      <c r="A439" s="118"/>
      <c r="G439" s="118"/>
      <c r="H439" s="118"/>
      <c r="I439" s="118"/>
      <c r="J439" s="118"/>
      <c r="K439" s="118"/>
      <c r="L439" s="118"/>
      <c r="M439" s="118"/>
    </row>
    <row r="440" spans="1:13" ht="12" customHeight="1" x14ac:dyDescent="0.3">
      <c r="A440" s="118"/>
      <c r="G440" s="118"/>
      <c r="H440" s="118"/>
      <c r="I440" s="118"/>
      <c r="J440" s="118"/>
      <c r="K440" s="118"/>
      <c r="L440" s="118"/>
      <c r="M440" s="118"/>
    </row>
    <row r="441" spans="1:13" ht="12" customHeight="1" x14ac:dyDescent="0.3">
      <c r="A441" s="118"/>
      <c r="G441" s="118"/>
      <c r="H441" s="118"/>
      <c r="I441" s="118"/>
      <c r="J441" s="118"/>
      <c r="K441" s="118"/>
      <c r="L441" s="118"/>
      <c r="M441" s="118"/>
    </row>
    <row r="442" spans="1:13" ht="12" customHeight="1" x14ac:dyDescent="0.3">
      <c r="A442" s="118"/>
      <c r="G442" s="118"/>
      <c r="H442" s="118"/>
      <c r="I442" s="118"/>
      <c r="J442" s="118"/>
      <c r="K442" s="118"/>
      <c r="L442" s="118"/>
      <c r="M442" s="118"/>
    </row>
    <row r="443" spans="1:13" ht="12" customHeight="1" x14ac:dyDescent="0.3">
      <c r="A443" s="118"/>
      <c r="G443" s="118"/>
      <c r="H443" s="118"/>
      <c r="I443" s="118"/>
      <c r="J443" s="118"/>
      <c r="K443" s="118"/>
      <c r="L443" s="118"/>
      <c r="M443" s="118"/>
    </row>
    <row r="444" spans="1:13" ht="12" customHeight="1" x14ac:dyDescent="0.3">
      <c r="A444" s="118"/>
      <c r="G444" s="118"/>
      <c r="H444" s="118"/>
      <c r="I444" s="118"/>
      <c r="J444" s="118"/>
      <c r="K444" s="118"/>
      <c r="L444" s="118"/>
      <c r="M444" s="118"/>
    </row>
    <row r="445" spans="1:13" ht="12" customHeight="1" x14ac:dyDescent="0.3">
      <c r="A445" s="118"/>
      <c r="G445" s="118"/>
      <c r="H445" s="118"/>
      <c r="I445" s="118"/>
      <c r="J445" s="118"/>
      <c r="K445" s="118"/>
      <c r="L445" s="118"/>
      <c r="M445" s="118"/>
    </row>
    <row r="446" spans="1:13" ht="12" customHeight="1" x14ac:dyDescent="0.3">
      <c r="A446" s="118"/>
      <c r="G446" s="118"/>
      <c r="H446" s="118"/>
      <c r="I446" s="118"/>
      <c r="J446" s="118"/>
      <c r="K446" s="118"/>
      <c r="L446" s="118"/>
      <c r="M446" s="118"/>
    </row>
    <row r="447" spans="1:13" ht="12" customHeight="1" x14ac:dyDescent="0.3">
      <c r="A447" s="118"/>
      <c r="G447" s="118"/>
      <c r="H447" s="118"/>
      <c r="I447" s="118"/>
      <c r="J447" s="118"/>
      <c r="K447" s="118"/>
      <c r="L447" s="118"/>
      <c r="M447" s="118"/>
    </row>
    <row r="448" spans="1:13" ht="12" customHeight="1" x14ac:dyDescent="0.3">
      <c r="A448" s="118"/>
      <c r="G448" s="118"/>
      <c r="H448" s="118"/>
      <c r="I448" s="118"/>
      <c r="J448" s="118"/>
      <c r="K448" s="118"/>
      <c r="L448" s="118"/>
      <c r="M448" s="118"/>
    </row>
    <row r="449" spans="1:13" ht="12" customHeight="1" x14ac:dyDescent="0.3">
      <c r="A449" s="118"/>
      <c r="G449" s="118"/>
      <c r="H449" s="118"/>
      <c r="I449" s="118"/>
      <c r="J449" s="118"/>
      <c r="K449" s="118"/>
      <c r="L449" s="118"/>
      <c r="M449" s="118"/>
    </row>
    <row r="450" spans="1:13" ht="12" customHeight="1" x14ac:dyDescent="0.3">
      <c r="A450" s="118"/>
      <c r="G450" s="118"/>
      <c r="H450" s="118"/>
      <c r="I450" s="118"/>
      <c r="J450" s="118"/>
      <c r="K450" s="118"/>
      <c r="L450" s="118"/>
      <c r="M450" s="118"/>
    </row>
    <row r="451" spans="1:13" ht="12" customHeight="1" x14ac:dyDescent="0.3">
      <c r="A451" s="118"/>
      <c r="G451" s="118"/>
      <c r="H451" s="118"/>
      <c r="I451" s="118"/>
      <c r="J451" s="118"/>
      <c r="K451" s="118"/>
      <c r="L451" s="118"/>
      <c r="M451" s="118"/>
    </row>
    <row r="452" spans="1:13" ht="12" customHeight="1" x14ac:dyDescent="0.3">
      <c r="A452" s="118"/>
      <c r="G452" s="118"/>
      <c r="H452" s="118"/>
      <c r="I452" s="118"/>
      <c r="J452" s="118"/>
      <c r="K452" s="118"/>
      <c r="L452" s="118"/>
      <c r="M452" s="118"/>
    </row>
    <row r="453" spans="1:13" ht="12" customHeight="1" x14ac:dyDescent="0.3">
      <c r="A453" s="118"/>
      <c r="G453" s="118"/>
      <c r="H453" s="118"/>
      <c r="I453" s="118"/>
      <c r="J453" s="118"/>
      <c r="K453" s="118"/>
      <c r="L453" s="118"/>
      <c r="M453" s="118"/>
    </row>
    <row r="454" spans="1:13" ht="12" customHeight="1" x14ac:dyDescent="0.3">
      <c r="A454" s="118"/>
      <c r="G454" s="118"/>
      <c r="H454" s="118"/>
      <c r="I454" s="118"/>
      <c r="J454" s="118"/>
      <c r="K454" s="118"/>
      <c r="L454" s="118"/>
      <c r="M454" s="118"/>
    </row>
    <row r="455" spans="1:13" ht="12" customHeight="1" x14ac:dyDescent="0.3">
      <c r="A455" s="118"/>
      <c r="G455" s="118"/>
      <c r="H455" s="118"/>
      <c r="I455" s="118"/>
      <c r="J455" s="118"/>
      <c r="K455" s="118"/>
      <c r="L455" s="118"/>
      <c r="M455" s="118"/>
    </row>
    <row r="456" spans="1:13" ht="12" customHeight="1" x14ac:dyDescent="0.3">
      <c r="A456" s="118"/>
      <c r="G456" s="118"/>
      <c r="H456" s="118"/>
      <c r="I456" s="118"/>
      <c r="J456" s="118"/>
      <c r="K456" s="118"/>
      <c r="L456" s="118"/>
      <c r="M456" s="118"/>
    </row>
    <row r="457" spans="1:13" ht="12" customHeight="1" x14ac:dyDescent="0.3">
      <c r="A457" s="118"/>
      <c r="G457" s="118"/>
      <c r="H457" s="118"/>
      <c r="I457" s="118"/>
      <c r="J457" s="118"/>
      <c r="K457" s="118"/>
      <c r="L457" s="118"/>
      <c r="M457" s="118"/>
    </row>
    <row r="458" spans="1:13" ht="12" customHeight="1" x14ac:dyDescent="0.3">
      <c r="A458" s="118"/>
      <c r="G458" s="118"/>
      <c r="H458" s="118"/>
      <c r="I458" s="118"/>
      <c r="J458" s="118"/>
      <c r="K458" s="118"/>
      <c r="L458" s="118"/>
      <c r="M458" s="118"/>
    </row>
    <row r="459" spans="1:13" ht="12" customHeight="1" x14ac:dyDescent="0.3">
      <c r="A459" s="118"/>
      <c r="G459" s="118"/>
      <c r="H459" s="118"/>
      <c r="I459" s="118"/>
      <c r="J459" s="118"/>
      <c r="K459" s="118"/>
      <c r="L459" s="118"/>
      <c r="M459" s="118"/>
    </row>
    <row r="460" spans="1:13" ht="12" customHeight="1" x14ac:dyDescent="0.3">
      <c r="A460" s="118"/>
      <c r="G460" s="118"/>
      <c r="H460" s="118"/>
      <c r="I460" s="118"/>
      <c r="J460" s="118"/>
      <c r="K460" s="118"/>
      <c r="L460" s="118"/>
      <c r="M460" s="118"/>
    </row>
    <row r="461" spans="1:13" ht="12" customHeight="1" x14ac:dyDescent="0.3">
      <c r="A461" s="118"/>
      <c r="G461" s="118"/>
      <c r="H461" s="118"/>
      <c r="I461" s="118"/>
      <c r="J461" s="118"/>
      <c r="K461" s="118"/>
      <c r="L461" s="118"/>
      <c r="M461" s="118"/>
    </row>
    <row r="462" spans="1:13" ht="12" customHeight="1" x14ac:dyDescent="0.3">
      <c r="A462" s="118"/>
      <c r="G462" s="118"/>
      <c r="H462" s="118"/>
      <c r="I462" s="118"/>
      <c r="J462" s="118"/>
      <c r="K462" s="118"/>
      <c r="L462" s="118"/>
      <c r="M462" s="118"/>
    </row>
    <row r="463" spans="1:13" ht="12" customHeight="1" x14ac:dyDescent="0.3">
      <c r="A463" s="118"/>
      <c r="G463" s="118"/>
      <c r="H463" s="118"/>
      <c r="I463" s="118"/>
      <c r="J463" s="118"/>
      <c r="K463" s="118"/>
      <c r="L463" s="118"/>
      <c r="M463" s="118"/>
    </row>
    <row r="464" spans="1:13" ht="12" customHeight="1" x14ac:dyDescent="0.3">
      <c r="A464" s="118"/>
      <c r="G464" s="118"/>
      <c r="H464" s="118"/>
      <c r="I464" s="118"/>
      <c r="J464" s="118"/>
      <c r="K464" s="118"/>
      <c r="L464" s="118"/>
      <c r="M464" s="118"/>
    </row>
    <row r="465" spans="1:13" ht="12" customHeight="1" x14ac:dyDescent="0.3">
      <c r="A465" s="118"/>
      <c r="G465" s="118"/>
      <c r="H465" s="118"/>
      <c r="I465" s="118"/>
      <c r="J465" s="118"/>
      <c r="K465" s="118"/>
      <c r="L465" s="118"/>
      <c r="M465" s="118"/>
    </row>
    <row r="466" spans="1:13" ht="12" customHeight="1" x14ac:dyDescent="0.3">
      <c r="A466" s="118"/>
      <c r="G466" s="118"/>
      <c r="H466" s="118"/>
      <c r="I466" s="118"/>
      <c r="J466" s="118"/>
      <c r="K466" s="118"/>
      <c r="L466" s="118"/>
      <c r="M466" s="118"/>
    </row>
    <row r="467" spans="1:13" ht="12" customHeight="1" x14ac:dyDescent="0.3">
      <c r="A467" s="118"/>
      <c r="G467" s="118"/>
      <c r="H467" s="118"/>
      <c r="I467" s="118"/>
      <c r="J467" s="118"/>
      <c r="K467" s="118"/>
      <c r="L467" s="118"/>
      <c r="M467" s="118"/>
    </row>
    <row r="468" spans="1:13" ht="12" customHeight="1" x14ac:dyDescent="0.3">
      <c r="A468" s="118"/>
      <c r="G468" s="118"/>
      <c r="H468" s="118"/>
      <c r="I468" s="118"/>
      <c r="J468" s="118"/>
      <c r="K468" s="118"/>
      <c r="L468" s="118"/>
      <c r="M468" s="118"/>
    </row>
    <row r="469" spans="1:13" ht="12" customHeight="1" x14ac:dyDescent="0.3">
      <c r="A469" s="118"/>
      <c r="G469" s="118"/>
      <c r="H469" s="118"/>
      <c r="I469" s="118"/>
      <c r="J469" s="118"/>
      <c r="K469" s="118"/>
      <c r="L469" s="118"/>
      <c r="M469" s="118"/>
    </row>
    <row r="470" spans="1:13" ht="12" customHeight="1" x14ac:dyDescent="0.3">
      <c r="A470" s="118"/>
      <c r="G470" s="118"/>
      <c r="H470" s="118"/>
      <c r="I470" s="118"/>
      <c r="J470" s="118"/>
      <c r="K470" s="118"/>
      <c r="L470" s="118"/>
      <c r="M470" s="118"/>
    </row>
    <row r="471" spans="1:13" ht="12" customHeight="1" x14ac:dyDescent="0.3">
      <c r="A471" s="118"/>
      <c r="G471" s="118"/>
      <c r="H471" s="118"/>
      <c r="I471" s="118"/>
      <c r="J471" s="118"/>
      <c r="K471" s="118"/>
      <c r="L471" s="118"/>
      <c r="M471" s="118"/>
    </row>
    <row r="472" spans="1:13" ht="12" customHeight="1" x14ac:dyDescent="0.3">
      <c r="A472" s="118"/>
      <c r="G472" s="118"/>
      <c r="H472" s="118"/>
      <c r="I472" s="118"/>
      <c r="J472" s="118"/>
      <c r="K472" s="118"/>
      <c r="L472" s="118"/>
      <c r="M472" s="118"/>
    </row>
    <row r="473" spans="1:13" ht="12" customHeight="1" x14ac:dyDescent="0.3">
      <c r="A473" s="118"/>
      <c r="G473" s="118"/>
      <c r="H473" s="118"/>
      <c r="I473" s="118"/>
      <c r="J473" s="118"/>
      <c r="K473" s="118"/>
      <c r="L473" s="118"/>
      <c r="M473" s="118"/>
    </row>
    <row r="474" spans="1:13" ht="12" customHeight="1" x14ac:dyDescent="0.3">
      <c r="A474" s="118"/>
      <c r="G474" s="118"/>
      <c r="H474" s="118"/>
      <c r="I474" s="118"/>
      <c r="J474" s="118"/>
      <c r="K474" s="118"/>
      <c r="L474" s="118"/>
      <c r="M474" s="118"/>
    </row>
    <row r="475" spans="1:13" ht="12" customHeight="1" x14ac:dyDescent="0.3">
      <c r="A475" s="118"/>
      <c r="G475" s="118"/>
      <c r="H475" s="118"/>
      <c r="I475" s="118"/>
      <c r="J475" s="118"/>
      <c r="K475" s="118"/>
      <c r="L475" s="118"/>
      <c r="M475" s="118"/>
    </row>
    <row r="476" spans="1:13" ht="12" customHeight="1" x14ac:dyDescent="0.3">
      <c r="A476" s="118"/>
      <c r="G476" s="118"/>
      <c r="H476" s="118"/>
      <c r="I476" s="118"/>
      <c r="J476" s="118"/>
      <c r="K476" s="118"/>
      <c r="L476" s="118"/>
      <c r="M476" s="118"/>
    </row>
    <row r="477" spans="1:13" ht="12" customHeight="1" x14ac:dyDescent="0.3">
      <c r="A477" s="118"/>
      <c r="G477" s="118"/>
      <c r="H477" s="118"/>
      <c r="I477" s="118"/>
      <c r="J477" s="118"/>
      <c r="K477" s="118"/>
      <c r="L477" s="118"/>
      <c r="M477" s="118"/>
    </row>
    <row r="478" spans="1:13" ht="12" customHeight="1" x14ac:dyDescent="0.3">
      <c r="A478" s="118"/>
      <c r="G478" s="118"/>
      <c r="H478" s="118"/>
      <c r="I478" s="118"/>
      <c r="J478" s="118"/>
      <c r="K478" s="118"/>
      <c r="L478" s="118"/>
      <c r="M478" s="118"/>
    </row>
    <row r="479" spans="1:13" ht="12" customHeight="1" x14ac:dyDescent="0.3">
      <c r="A479" s="118"/>
      <c r="G479" s="118"/>
      <c r="H479" s="118"/>
      <c r="I479" s="118"/>
      <c r="J479" s="118"/>
      <c r="K479" s="118"/>
      <c r="L479" s="118"/>
      <c r="M479" s="118"/>
    </row>
    <row r="480" spans="1:13" ht="12" customHeight="1" x14ac:dyDescent="0.3">
      <c r="A480" s="118"/>
      <c r="G480" s="118"/>
      <c r="H480" s="118"/>
      <c r="I480" s="118"/>
      <c r="J480" s="118"/>
      <c r="K480" s="118"/>
      <c r="L480" s="118"/>
      <c r="M480" s="118"/>
    </row>
    <row r="481" spans="1:13" ht="12" customHeight="1" x14ac:dyDescent="0.3">
      <c r="A481" s="118"/>
      <c r="G481" s="118"/>
      <c r="H481" s="118"/>
      <c r="I481" s="118"/>
      <c r="J481" s="118"/>
      <c r="K481" s="118"/>
      <c r="L481" s="118"/>
      <c r="M481" s="118"/>
    </row>
    <row r="482" spans="1:13" ht="12" customHeight="1" x14ac:dyDescent="0.3">
      <c r="A482" s="118"/>
      <c r="G482" s="118"/>
      <c r="H482" s="118"/>
      <c r="I482" s="118"/>
      <c r="J482" s="118"/>
      <c r="K482" s="118"/>
      <c r="L482" s="118"/>
      <c r="M482" s="118"/>
    </row>
    <row r="483" spans="1:13" ht="12" customHeight="1" x14ac:dyDescent="0.3">
      <c r="A483" s="118"/>
      <c r="G483" s="118"/>
      <c r="H483" s="118"/>
      <c r="I483" s="118"/>
      <c r="J483" s="118"/>
      <c r="K483" s="118"/>
      <c r="L483" s="118"/>
      <c r="M483" s="118"/>
    </row>
    <row r="484" spans="1:13" ht="12" customHeight="1" x14ac:dyDescent="0.3">
      <c r="A484" s="118"/>
      <c r="G484" s="118"/>
      <c r="H484" s="118"/>
      <c r="I484" s="118"/>
      <c r="J484" s="118"/>
      <c r="K484" s="118"/>
      <c r="L484" s="118"/>
      <c r="M484" s="118"/>
    </row>
    <row r="485" spans="1:13" ht="12" customHeight="1" x14ac:dyDescent="0.3">
      <c r="A485" s="118"/>
      <c r="G485" s="118"/>
      <c r="H485" s="118"/>
      <c r="I485" s="118"/>
      <c r="J485" s="118"/>
      <c r="K485" s="118"/>
      <c r="L485" s="118"/>
      <c r="M485" s="118"/>
    </row>
    <row r="486" spans="1:13" ht="12" customHeight="1" x14ac:dyDescent="0.3">
      <c r="A486" s="118"/>
      <c r="G486" s="118"/>
      <c r="H486" s="118"/>
      <c r="I486" s="118"/>
      <c r="J486" s="118"/>
      <c r="K486" s="118"/>
      <c r="L486" s="118"/>
      <c r="M486" s="118"/>
    </row>
    <row r="487" spans="1:13" ht="12" customHeight="1" x14ac:dyDescent="0.3">
      <c r="A487" s="118"/>
      <c r="G487" s="118"/>
      <c r="H487" s="118"/>
      <c r="I487" s="118"/>
      <c r="J487" s="118"/>
      <c r="K487" s="118"/>
      <c r="L487" s="118"/>
      <c r="M487" s="118"/>
    </row>
    <row r="488" spans="1:13" ht="12" customHeight="1" x14ac:dyDescent="0.3">
      <c r="A488" s="118"/>
      <c r="G488" s="118"/>
      <c r="H488" s="118"/>
      <c r="I488" s="118"/>
      <c r="J488" s="118"/>
      <c r="K488" s="118"/>
      <c r="L488" s="118"/>
      <c r="M488" s="118"/>
    </row>
    <row r="489" spans="1:13" ht="12" customHeight="1" x14ac:dyDescent="0.3">
      <c r="A489" s="118"/>
      <c r="G489" s="118"/>
      <c r="H489" s="118"/>
      <c r="I489" s="118"/>
      <c r="J489" s="118"/>
      <c r="K489" s="118"/>
      <c r="L489" s="118"/>
      <c r="M489" s="118"/>
    </row>
    <row r="490" spans="1:13" ht="12" customHeight="1" x14ac:dyDescent="0.3">
      <c r="A490" s="118"/>
      <c r="G490" s="118"/>
      <c r="H490" s="118"/>
      <c r="I490" s="118"/>
      <c r="J490" s="118"/>
      <c r="K490" s="118"/>
      <c r="L490" s="118"/>
      <c r="M490" s="118"/>
    </row>
    <row r="491" spans="1:13" ht="12" customHeight="1" x14ac:dyDescent="0.3">
      <c r="A491" s="118"/>
      <c r="G491" s="118"/>
      <c r="H491" s="118"/>
      <c r="I491" s="118"/>
      <c r="J491" s="118"/>
      <c r="K491" s="118"/>
      <c r="L491" s="118"/>
      <c r="M491" s="118"/>
    </row>
    <row r="492" spans="1:13" ht="12" customHeight="1" x14ac:dyDescent="0.3">
      <c r="A492" s="118"/>
      <c r="G492" s="118"/>
      <c r="H492" s="118"/>
      <c r="I492" s="118"/>
      <c r="J492" s="118"/>
      <c r="K492" s="118"/>
      <c r="L492" s="118"/>
      <c r="M492" s="118"/>
    </row>
    <row r="493" spans="1:13" ht="12" customHeight="1" x14ac:dyDescent="0.3">
      <c r="A493" s="118"/>
      <c r="G493" s="118"/>
      <c r="H493" s="118"/>
      <c r="I493" s="118"/>
      <c r="J493" s="118"/>
      <c r="K493" s="118"/>
      <c r="L493" s="118"/>
      <c r="M493" s="118"/>
    </row>
    <row r="494" spans="1:13" ht="12" customHeight="1" x14ac:dyDescent="0.3">
      <c r="A494" s="118"/>
      <c r="G494" s="118"/>
      <c r="H494" s="118"/>
      <c r="I494" s="118"/>
      <c r="J494" s="118"/>
      <c r="K494" s="118"/>
      <c r="L494" s="118"/>
      <c r="M494" s="118"/>
    </row>
    <row r="495" spans="1:13" ht="12" customHeight="1" x14ac:dyDescent="0.3">
      <c r="A495" s="118"/>
      <c r="G495" s="118"/>
      <c r="H495" s="118"/>
      <c r="I495" s="118"/>
      <c r="J495" s="118"/>
      <c r="K495" s="118"/>
      <c r="L495" s="118"/>
      <c r="M495" s="118"/>
    </row>
    <row r="496" spans="1:13" ht="12" customHeight="1" x14ac:dyDescent="0.3">
      <c r="A496" s="118"/>
      <c r="G496" s="118"/>
      <c r="H496" s="118"/>
      <c r="I496" s="118"/>
      <c r="J496" s="118"/>
      <c r="K496" s="118"/>
      <c r="L496" s="118"/>
      <c r="M496" s="118"/>
    </row>
    <row r="497" spans="1:13" ht="12" customHeight="1" x14ac:dyDescent="0.3">
      <c r="A497" s="118"/>
      <c r="G497" s="118"/>
      <c r="H497" s="118"/>
      <c r="I497" s="118"/>
      <c r="J497" s="118"/>
      <c r="K497" s="118"/>
      <c r="L497" s="118"/>
      <c r="M497" s="118"/>
    </row>
    <row r="498" spans="1:13" ht="12" customHeight="1" x14ac:dyDescent="0.3">
      <c r="A498" s="118"/>
      <c r="G498" s="118"/>
      <c r="H498" s="118"/>
      <c r="I498" s="118"/>
      <c r="J498" s="118"/>
      <c r="K498" s="118"/>
      <c r="L498" s="118"/>
      <c r="M498" s="118"/>
    </row>
    <row r="499" spans="1:13" ht="12" customHeight="1" x14ac:dyDescent="0.3">
      <c r="A499" s="118"/>
      <c r="G499" s="118"/>
      <c r="H499" s="118"/>
      <c r="I499" s="118"/>
      <c r="J499" s="118"/>
      <c r="K499" s="118"/>
      <c r="L499" s="118"/>
      <c r="M499" s="118"/>
    </row>
    <row r="500" spans="1:13" ht="12" customHeight="1" x14ac:dyDescent="0.3">
      <c r="A500" s="118"/>
      <c r="G500" s="118"/>
      <c r="H500" s="118"/>
      <c r="I500" s="118"/>
      <c r="J500" s="118"/>
      <c r="K500" s="118"/>
      <c r="L500" s="118"/>
      <c r="M500" s="118"/>
    </row>
    <row r="501" spans="1:13" ht="12" customHeight="1" x14ac:dyDescent="0.3">
      <c r="A501" s="118"/>
      <c r="G501" s="118"/>
      <c r="H501" s="118"/>
      <c r="I501" s="118"/>
      <c r="J501" s="118"/>
      <c r="K501" s="118"/>
      <c r="L501" s="118"/>
      <c r="M501" s="118"/>
    </row>
    <row r="502" spans="1:13" ht="12" customHeight="1" x14ac:dyDescent="0.3">
      <c r="A502" s="118"/>
      <c r="G502" s="118"/>
      <c r="H502" s="118"/>
      <c r="I502" s="118"/>
      <c r="J502" s="118"/>
      <c r="K502" s="118"/>
      <c r="L502" s="118"/>
      <c r="M502" s="118"/>
    </row>
    <row r="503" spans="1:13" ht="12" customHeight="1" x14ac:dyDescent="0.3">
      <c r="A503" s="118"/>
      <c r="G503" s="118"/>
      <c r="H503" s="118"/>
      <c r="I503" s="118"/>
      <c r="J503" s="118"/>
      <c r="K503" s="118"/>
      <c r="L503" s="118"/>
      <c r="M503" s="118"/>
    </row>
    <row r="504" spans="1:13" ht="12" customHeight="1" x14ac:dyDescent="0.3">
      <c r="A504" s="118"/>
      <c r="G504" s="118"/>
      <c r="H504" s="118"/>
      <c r="I504" s="118"/>
      <c r="J504" s="118"/>
      <c r="K504" s="118"/>
      <c r="L504" s="118"/>
      <c r="M504" s="118"/>
    </row>
    <row r="505" spans="1:13" ht="12" customHeight="1" x14ac:dyDescent="0.3">
      <c r="A505" s="118"/>
      <c r="G505" s="118"/>
      <c r="H505" s="118"/>
      <c r="I505" s="118"/>
      <c r="J505" s="118"/>
      <c r="K505" s="118"/>
      <c r="L505" s="118"/>
      <c r="M505" s="118"/>
    </row>
    <row r="506" spans="1:13" ht="12" customHeight="1" x14ac:dyDescent="0.3">
      <c r="A506" s="118"/>
      <c r="G506" s="118"/>
      <c r="H506" s="118"/>
      <c r="I506" s="118"/>
      <c r="J506" s="118"/>
      <c r="K506" s="118"/>
      <c r="L506" s="118"/>
      <c r="M506" s="118"/>
    </row>
    <row r="507" spans="1:13" ht="12" customHeight="1" x14ac:dyDescent="0.3">
      <c r="A507" s="118"/>
      <c r="G507" s="118"/>
      <c r="H507" s="118"/>
      <c r="I507" s="118"/>
      <c r="J507" s="118"/>
      <c r="K507" s="118"/>
      <c r="L507" s="118"/>
      <c r="M507" s="118"/>
    </row>
    <row r="508" spans="1:13" ht="12" customHeight="1" x14ac:dyDescent="0.3">
      <c r="A508" s="118"/>
      <c r="G508" s="118"/>
      <c r="H508" s="118"/>
      <c r="I508" s="118"/>
      <c r="J508" s="118"/>
      <c r="K508" s="118"/>
      <c r="L508" s="118"/>
      <c r="M508" s="118"/>
    </row>
    <row r="509" spans="1:13" ht="12" customHeight="1" x14ac:dyDescent="0.3">
      <c r="A509" s="118"/>
      <c r="G509" s="118"/>
      <c r="H509" s="118"/>
      <c r="I509" s="118"/>
      <c r="J509" s="118"/>
      <c r="K509" s="118"/>
      <c r="L509" s="118"/>
      <c r="M509" s="118"/>
    </row>
    <row r="510" spans="1:13" ht="12" customHeight="1" x14ac:dyDescent="0.3">
      <c r="A510" s="118"/>
      <c r="G510" s="118"/>
      <c r="H510" s="118"/>
      <c r="I510" s="118"/>
      <c r="J510" s="118"/>
      <c r="K510" s="118"/>
      <c r="L510" s="118"/>
      <c r="M510" s="118"/>
    </row>
    <row r="511" spans="1:13" ht="12" customHeight="1" x14ac:dyDescent="0.3">
      <c r="A511" s="118"/>
      <c r="G511" s="118"/>
      <c r="H511" s="118"/>
      <c r="I511" s="118"/>
      <c r="J511" s="118"/>
      <c r="K511" s="118"/>
      <c r="L511" s="118"/>
      <c r="M511" s="118"/>
    </row>
    <row r="512" spans="1:13" ht="12" customHeight="1" x14ac:dyDescent="0.3">
      <c r="A512" s="118"/>
      <c r="G512" s="118"/>
      <c r="H512" s="118"/>
      <c r="I512" s="118"/>
      <c r="J512" s="118"/>
      <c r="K512" s="118"/>
      <c r="L512" s="118"/>
      <c r="M512" s="118"/>
    </row>
    <row r="513" spans="1:13" ht="12" customHeight="1" x14ac:dyDescent="0.3">
      <c r="A513" s="118"/>
      <c r="G513" s="118"/>
      <c r="H513" s="118"/>
      <c r="I513" s="118"/>
      <c r="J513" s="118"/>
      <c r="K513" s="118"/>
      <c r="L513" s="118"/>
      <c r="M513" s="118"/>
    </row>
    <row r="514" spans="1:13" ht="12" customHeight="1" x14ac:dyDescent="0.3">
      <c r="A514" s="118"/>
      <c r="G514" s="118"/>
      <c r="H514" s="118"/>
      <c r="I514" s="118"/>
      <c r="J514" s="118"/>
      <c r="K514" s="118"/>
      <c r="L514" s="118"/>
      <c r="M514" s="118"/>
    </row>
    <row r="515" spans="1:13" ht="12" customHeight="1" x14ac:dyDescent="0.3">
      <c r="A515" s="118"/>
      <c r="G515" s="118"/>
      <c r="H515" s="118"/>
      <c r="I515" s="118"/>
      <c r="J515" s="118"/>
      <c r="K515" s="118"/>
      <c r="L515" s="118"/>
      <c r="M515" s="118"/>
    </row>
    <row r="516" spans="1:13" ht="12" customHeight="1" x14ac:dyDescent="0.3">
      <c r="A516" s="118"/>
      <c r="G516" s="118"/>
      <c r="H516" s="118"/>
      <c r="I516" s="118"/>
      <c r="J516" s="118"/>
      <c r="K516" s="118"/>
      <c r="L516" s="118"/>
      <c r="M516" s="118"/>
    </row>
    <row r="517" spans="1:13" ht="12" customHeight="1" x14ac:dyDescent="0.3">
      <c r="A517" s="118"/>
      <c r="G517" s="118"/>
      <c r="H517" s="118"/>
      <c r="I517" s="118"/>
      <c r="J517" s="118"/>
      <c r="K517" s="118"/>
      <c r="L517" s="118"/>
      <c r="M517" s="118"/>
    </row>
    <row r="518" spans="1:13" ht="12" customHeight="1" x14ac:dyDescent="0.3">
      <c r="A518" s="118"/>
      <c r="G518" s="118"/>
      <c r="H518" s="118"/>
      <c r="I518" s="118"/>
      <c r="J518" s="118"/>
      <c r="K518" s="118"/>
      <c r="L518" s="118"/>
      <c r="M518" s="118"/>
    </row>
    <row r="519" spans="1:13" ht="12" customHeight="1" x14ac:dyDescent="0.3">
      <c r="A519" s="118"/>
      <c r="G519" s="118"/>
      <c r="H519" s="118"/>
      <c r="I519" s="118"/>
      <c r="J519" s="118"/>
      <c r="K519" s="118"/>
      <c r="L519" s="118"/>
      <c r="M519" s="118"/>
    </row>
    <row r="520" spans="1:13" ht="12" customHeight="1" x14ac:dyDescent="0.3">
      <c r="A520" s="118"/>
      <c r="G520" s="118"/>
      <c r="H520" s="118"/>
      <c r="I520" s="118"/>
      <c r="J520" s="118"/>
      <c r="K520" s="118"/>
      <c r="L520" s="118"/>
      <c r="M520" s="118"/>
    </row>
    <row r="521" spans="1:13" ht="12" customHeight="1" x14ac:dyDescent="0.3">
      <c r="A521" s="118"/>
      <c r="G521" s="118"/>
      <c r="H521" s="118"/>
      <c r="I521" s="118"/>
      <c r="J521" s="118"/>
      <c r="K521" s="118"/>
      <c r="L521" s="118"/>
      <c r="M521" s="118"/>
    </row>
    <row r="522" spans="1:13" ht="12" customHeight="1" x14ac:dyDescent="0.3">
      <c r="A522" s="118"/>
      <c r="G522" s="118"/>
      <c r="H522" s="118"/>
      <c r="I522" s="118"/>
      <c r="J522" s="118"/>
      <c r="K522" s="118"/>
      <c r="L522" s="118"/>
      <c r="M522" s="118"/>
    </row>
    <row r="523" spans="1:13" ht="12" customHeight="1" x14ac:dyDescent="0.3">
      <c r="A523" s="118"/>
      <c r="G523" s="118"/>
      <c r="H523" s="118"/>
      <c r="I523" s="118"/>
      <c r="J523" s="118"/>
      <c r="K523" s="118"/>
      <c r="L523" s="118"/>
      <c r="M523" s="118"/>
    </row>
    <row r="524" spans="1:13" ht="12" customHeight="1" x14ac:dyDescent="0.3">
      <c r="A524" s="118"/>
      <c r="G524" s="118"/>
      <c r="H524" s="118"/>
      <c r="I524" s="118"/>
      <c r="J524" s="118"/>
      <c r="K524" s="118"/>
      <c r="L524" s="118"/>
      <c r="M524" s="118"/>
    </row>
    <row r="525" spans="1:13" ht="12" customHeight="1" x14ac:dyDescent="0.3">
      <c r="A525" s="118"/>
      <c r="G525" s="118"/>
      <c r="H525" s="118"/>
      <c r="I525" s="118"/>
      <c r="J525" s="118"/>
      <c r="K525" s="118"/>
      <c r="L525" s="118"/>
      <c r="M525" s="118"/>
    </row>
    <row r="526" spans="1:13" ht="12" customHeight="1" x14ac:dyDescent="0.3">
      <c r="A526" s="118"/>
      <c r="G526" s="118"/>
      <c r="H526" s="118"/>
      <c r="I526" s="118"/>
      <c r="J526" s="118"/>
      <c r="K526" s="118"/>
      <c r="L526" s="118"/>
      <c r="M526" s="118"/>
    </row>
    <row r="527" spans="1:13" ht="12" customHeight="1" x14ac:dyDescent="0.3">
      <c r="A527" s="118"/>
      <c r="G527" s="118"/>
      <c r="H527" s="118"/>
      <c r="I527" s="118"/>
      <c r="J527" s="118"/>
      <c r="K527" s="118"/>
      <c r="L527" s="118"/>
      <c r="M527" s="118"/>
    </row>
    <row r="528" spans="1:13" ht="12" customHeight="1" x14ac:dyDescent="0.3">
      <c r="A528" s="118"/>
      <c r="G528" s="118"/>
      <c r="H528" s="118"/>
      <c r="I528" s="118"/>
      <c r="J528" s="118"/>
      <c r="K528" s="118"/>
      <c r="L528" s="118"/>
      <c r="M528" s="118"/>
    </row>
    <row r="529" spans="1:13" ht="12" customHeight="1" x14ac:dyDescent="0.3">
      <c r="A529" s="118"/>
      <c r="G529" s="118"/>
      <c r="H529" s="118"/>
      <c r="I529" s="118"/>
      <c r="J529" s="118"/>
      <c r="K529" s="118"/>
      <c r="L529" s="118"/>
      <c r="M529" s="118"/>
    </row>
    <row r="530" spans="1:13" ht="12" customHeight="1" x14ac:dyDescent="0.3">
      <c r="A530" s="118"/>
      <c r="G530" s="118"/>
      <c r="H530" s="118"/>
      <c r="I530" s="118"/>
      <c r="J530" s="118"/>
      <c r="K530" s="118"/>
      <c r="L530" s="118"/>
      <c r="M530" s="118"/>
    </row>
    <row r="531" spans="1:13" ht="12" customHeight="1" x14ac:dyDescent="0.3">
      <c r="A531" s="118"/>
      <c r="G531" s="118"/>
      <c r="H531" s="118"/>
      <c r="I531" s="118"/>
      <c r="J531" s="118"/>
      <c r="K531" s="118"/>
      <c r="L531" s="118"/>
      <c r="M531" s="118"/>
    </row>
    <row r="532" spans="1:13" ht="12" customHeight="1" x14ac:dyDescent="0.3">
      <c r="A532" s="118"/>
      <c r="G532" s="118"/>
      <c r="H532" s="118"/>
      <c r="I532" s="118"/>
      <c r="J532" s="118"/>
      <c r="K532" s="118"/>
      <c r="L532" s="118"/>
      <c r="M532" s="118"/>
    </row>
    <row r="533" spans="1:13" ht="12" customHeight="1" x14ac:dyDescent="0.3">
      <c r="A533" s="118"/>
      <c r="G533" s="118"/>
      <c r="H533" s="118"/>
      <c r="I533" s="118"/>
      <c r="J533" s="118"/>
      <c r="K533" s="118"/>
      <c r="L533" s="118"/>
      <c r="M533" s="118"/>
    </row>
    <row r="534" spans="1:13" ht="12" customHeight="1" x14ac:dyDescent="0.3">
      <c r="A534" s="118"/>
      <c r="G534" s="118"/>
      <c r="H534" s="118"/>
      <c r="I534" s="118"/>
      <c r="J534" s="118"/>
      <c r="K534" s="118"/>
      <c r="L534" s="118"/>
      <c r="M534" s="118"/>
    </row>
    <row r="535" spans="1:13" ht="12" customHeight="1" x14ac:dyDescent="0.3">
      <c r="A535" s="118"/>
      <c r="G535" s="118"/>
      <c r="H535" s="118"/>
      <c r="I535" s="118"/>
      <c r="J535" s="118"/>
      <c r="K535" s="118"/>
      <c r="L535" s="118"/>
      <c r="M535" s="118"/>
    </row>
    <row r="536" spans="1:13" ht="12" customHeight="1" x14ac:dyDescent="0.3">
      <c r="A536" s="118"/>
      <c r="G536" s="118"/>
      <c r="H536" s="118"/>
      <c r="I536" s="118"/>
      <c r="J536" s="118"/>
      <c r="K536" s="118"/>
      <c r="L536" s="118"/>
      <c r="M536" s="118"/>
    </row>
    <row r="537" spans="1:13" ht="12" customHeight="1" x14ac:dyDescent="0.3">
      <c r="A537" s="118"/>
      <c r="G537" s="118"/>
      <c r="H537" s="118"/>
      <c r="I537" s="118"/>
      <c r="J537" s="118"/>
      <c r="K537" s="118"/>
      <c r="L537" s="118"/>
      <c r="M537" s="118"/>
    </row>
    <row r="538" spans="1:13" ht="12" customHeight="1" x14ac:dyDescent="0.3">
      <c r="A538" s="118"/>
      <c r="G538" s="118"/>
      <c r="H538" s="118"/>
      <c r="I538" s="118"/>
      <c r="J538" s="118"/>
      <c r="K538" s="118"/>
      <c r="L538" s="118"/>
      <c r="M538" s="118"/>
    </row>
    <row r="539" spans="1:13" ht="12" customHeight="1" x14ac:dyDescent="0.3">
      <c r="A539" s="118"/>
      <c r="G539" s="118"/>
      <c r="H539" s="118"/>
      <c r="I539" s="118"/>
      <c r="J539" s="118"/>
      <c r="K539" s="118"/>
      <c r="L539" s="118"/>
      <c r="M539" s="118"/>
    </row>
    <row r="540" spans="1:13" ht="12" customHeight="1" x14ac:dyDescent="0.3">
      <c r="A540" s="118"/>
      <c r="G540" s="118"/>
      <c r="H540" s="118"/>
      <c r="I540" s="118"/>
      <c r="J540" s="118"/>
      <c r="K540" s="118"/>
      <c r="L540" s="118"/>
      <c r="M540" s="118"/>
    </row>
    <row r="541" spans="1:13" ht="12" customHeight="1" x14ac:dyDescent="0.3">
      <c r="A541" s="118"/>
      <c r="G541" s="118"/>
      <c r="H541" s="118"/>
      <c r="I541" s="118"/>
      <c r="J541" s="118"/>
      <c r="K541" s="118"/>
      <c r="L541" s="118"/>
      <c r="M541" s="118"/>
    </row>
    <row r="542" spans="1:13" ht="12" customHeight="1" x14ac:dyDescent="0.3">
      <c r="A542" s="118"/>
      <c r="G542" s="118"/>
      <c r="H542" s="118"/>
      <c r="I542" s="118"/>
      <c r="J542" s="118"/>
      <c r="K542" s="118"/>
      <c r="L542" s="118"/>
      <c r="M542" s="118"/>
    </row>
    <row r="543" spans="1:13" ht="12" customHeight="1" x14ac:dyDescent="0.3">
      <c r="A543" s="118"/>
      <c r="G543" s="118"/>
      <c r="H543" s="118"/>
      <c r="I543" s="118"/>
      <c r="J543" s="118"/>
      <c r="K543" s="118"/>
      <c r="L543" s="118"/>
      <c r="M543" s="118"/>
    </row>
    <row r="544" spans="1:13" ht="12" customHeight="1" x14ac:dyDescent="0.3">
      <c r="A544" s="118"/>
      <c r="G544" s="118"/>
      <c r="H544" s="118"/>
      <c r="I544" s="118"/>
      <c r="J544" s="118"/>
      <c r="K544" s="118"/>
      <c r="L544" s="118"/>
      <c r="M544" s="118"/>
    </row>
    <row r="545" spans="1:13" ht="12" customHeight="1" x14ac:dyDescent="0.3">
      <c r="A545" s="118"/>
      <c r="G545" s="118"/>
      <c r="H545" s="118"/>
      <c r="I545" s="118"/>
      <c r="J545" s="118"/>
      <c r="K545" s="118"/>
      <c r="L545" s="118"/>
      <c r="M545" s="118"/>
    </row>
    <row r="546" spans="1:13" ht="12" customHeight="1" x14ac:dyDescent="0.3">
      <c r="A546" s="118"/>
      <c r="G546" s="118"/>
      <c r="H546" s="118"/>
      <c r="I546" s="118"/>
      <c r="J546" s="118"/>
      <c r="K546" s="118"/>
      <c r="L546" s="118"/>
      <c r="M546" s="118"/>
    </row>
    <row r="547" spans="1:13" ht="12" customHeight="1" x14ac:dyDescent="0.3">
      <c r="A547" s="118"/>
      <c r="G547" s="118"/>
      <c r="H547" s="118"/>
      <c r="I547" s="118"/>
      <c r="J547" s="118"/>
      <c r="K547" s="118"/>
      <c r="L547" s="118"/>
      <c r="M547" s="118"/>
    </row>
    <row r="548" spans="1:13" ht="12" customHeight="1" x14ac:dyDescent="0.3">
      <c r="A548" s="118"/>
      <c r="G548" s="118"/>
      <c r="H548" s="118"/>
      <c r="I548" s="118"/>
      <c r="J548" s="118"/>
      <c r="K548" s="118"/>
      <c r="L548" s="118"/>
      <c r="M548" s="118"/>
    </row>
    <row r="549" spans="1:13" ht="12" customHeight="1" x14ac:dyDescent="0.3">
      <c r="A549" s="118"/>
      <c r="G549" s="118"/>
      <c r="H549" s="118"/>
      <c r="I549" s="118"/>
      <c r="J549" s="118"/>
      <c r="K549" s="118"/>
      <c r="L549" s="118"/>
      <c r="M549" s="118"/>
    </row>
    <row r="550" spans="1:13" ht="12" customHeight="1" x14ac:dyDescent="0.3">
      <c r="A550" s="118"/>
      <c r="G550" s="118"/>
      <c r="H550" s="118"/>
      <c r="I550" s="118"/>
      <c r="J550" s="118"/>
      <c r="K550" s="118"/>
      <c r="L550" s="118"/>
      <c r="M550" s="118"/>
    </row>
    <row r="551" spans="1:13" ht="12" customHeight="1" x14ac:dyDescent="0.3">
      <c r="A551" s="118"/>
      <c r="G551" s="118"/>
      <c r="H551" s="118"/>
      <c r="I551" s="118"/>
      <c r="J551" s="118"/>
      <c r="K551" s="118"/>
      <c r="L551" s="118"/>
      <c r="M551" s="118"/>
    </row>
    <row r="552" spans="1:13" ht="12" customHeight="1" x14ac:dyDescent="0.3">
      <c r="A552" s="118"/>
      <c r="G552" s="118"/>
      <c r="H552" s="118"/>
      <c r="I552" s="118"/>
      <c r="J552" s="118"/>
      <c r="K552" s="118"/>
      <c r="L552" s="118"/>
      <c r="M552" s="118"/>
    </row>
    <row r="553" spans="1:13" ht="12" customHeight="1" x14ac:dyDescent="0.3">
      <c r="A553" s="118"/>
      <c r="G553" s="118"/>
      <c r="H553" s="118"/>
      <c r="I553" s="118"/>
      <c r="J553" s="118"/>
      <c r="K553" s="118"/>
      <c r="L553" s="118"/>
      <c r="M553" s="118"/>
    </row>
    <row r="554" spans="1:13" ht="12" customHeight="1" x14ac:dyDescent="0.3">
      <c r="A554" s="118"/>
      <c r="G554" s="118"/>
      <c r="H554" s="118"/>
      <c r="I554" s="118"/>
      <c r="J554" s="118"/>
      <c r="K554" s="118"/>
      <c r="L554" s="118"/>
      <c r="M554" s="118"/>
    </row>
    <row r="555" spans="1:13" ht="12" customHeight="1" x14ac:dyDescent="0.3">
      <c r="A555" s="118"/>
      <c r="G555" s="118"/>
      <c r="H555" s="118"/>
      <c r="I555" s="118"/>
      <c r="J555" s="118"/>
      <c r="K555" s="118"/>
      <c r="L555" s="118"/>
      <c r="M555" s="118"/>
    </row>
    <row r="556" spans="1:13" ht="12" customHeight="1" x14ac:dyDescent="0.3">
      <c r="A556" s="118"/>
      <c r="G556" s="118"/>
      <c r="H556" s="118"/>
      <c r="I556" s="118"/>
      <c r="J556" s="118"/>
      <c r="K556" s="118"/>
      <c r="L556" s="118"/>
      <c r="M556" s="118"/>
    </row>
    <row r="557" spans="1:13" ht="12" customHeight="1" x14ac:dyDescent="0.3">
      <c r="A557" s="118"/>
      <c r="G557" s="118"/>
      <c r="H557" s="118"/>
      <c r="I557" s="118"/>
      <c r="J557" s="118"/>
      <c r="K557" s="118"/>
      <c r="L557" s="118"/>
      <c r="M557" s="118"/>
    </row>
    <row r="558" spans="1:13" ht="12" customHeight="1" x14ac:dyDescent="0.3">
      <c r="A558" s="118"/>
      <c r="G558" s="118"/>
      <c r="H558" s="118"/>
      <c r="I558" s="118"/>
      <c r="J558" s="118"/>
      <c r="K558" s="118"/>
      <c r="L558" s="118"/>
      <c r="M558" s="118"/>
    </row>
    <row r="559" spans="1:13" ht="12" customHeight="1" x14ac:dyDescent="0.3">
      <c r="A559" s="118"/>
      <c r="G559" s="118"/>
      <c r="H559" s="118"/>
      <c r="I559" s="118"/>
      <c r="J559" s="118"/>
      <c r="K559" s="118"/>
      <c r="L559" s="118"/>
      <c r="M559" s="118"/>
    </row>
    <row r="560" spans="1:13" ht="12" customHeight="1" x14ac:dyDescent="0.3">
      <c r="A560" s="118"/>
      <c r="G560" s="118"/>
      <c r="H560" s="118"/>
      <c r="I560" s="118"/>
      <c r="J560" s="118"/>
      <c r="K560" s="118"/>
      <c r="L560" s="118"/>
      <c r="M560" s="118"/>
    </row>
    <row r="561" spans="1:13" ht="12" customHeight="1" x14ac:dyDescent="0.3">
      <c r="A561" s="118"/>
      <c r="G561" s="118"/>
      <c r="H561" s="118"/>
      <c r="I561" s="118"/>
      <c r="J561" s="118"/>
      <c r="K561" s="118"/>
      <c r="L561" s="118"/>
      <c r="M561" s="118"/>
    </row>
    <row r="562" spans="1:13" ht="12" customHeight="1" x14ac:dyDescent="0.3">
      <c r="A562" s="118"/>
      <c r="G562" s="118"/>
      <c r="H562" s="118"/>
      <c r="I562" s="118"/>
      <c r="J562" s="118"/>
      <c r="K562" s="118"/>
      <c r="L562" s="118"/>
      <c r="M562" s="118"/>
    </row>
    <row r="563" spans="1:13" ht="12" customHeight="1" x14ac:dyDescent="0.3">
      <c r="A563" s="118"/>
      <c r="G563" s="118"/>
      <c r="H563" s="118"/>
      <c r="I563" s="118"/>
      <c r="J563" s="118"/>
      <c r="K563" s="118"/>
      <c r="L563" s="118"/>
      <c r="M563" s="118"/>
    </row>
    <row r="564" spans="1:13" ht="12" customHeight="1" x14ac:dyDescent="0.3">
      <c r="A564" s="118"/>
      <c r="G564" s="118"/>
      <c r="H564" s="118"/>
      <c r="I564" s="118"/>
      <c r="J564" s="118"/>
      <c r="K564" s="118"/>
      <c r="L564" s="118"/>
      <c r="M564" s="118"/>
    </row>
    <row r="565" spans="1:13" ht="12" customHeight="1" x14ac:dyDescent="0.3">
      <c r="A565" s="118"/>
      <c r="G565" s="118"/>
      <c r="H565" s="118"/>
      <c r="I565" s="118"/>
      <c r="J565" s="118"/>
      <c r="K565" s="118"/>
      <c r="L565" s="118"/>
      <c r="M565" s="118"/>
    </row>
    <row r="566" spans="1:13" ht="12" customHeight="1" x14ac:dyDescent="0.3">
      <c r="A566" s="118"/>
      <c r="G566" s="118"/>
      <c r="H566" s="118"/>
      <c r="I566" s="118"/>
      <c r="J566" s="118"/>
      <c r="K566" s="118"/>
      <c r="L566" s="118"/>
      <c r="M566" s="118"/>
    </row>
    <row r="567" spans="1:13" ht="12" customHeight="1" x14ac:dyDescent="0.3">
      <c r="A567" s="118"/>
      <c r="G567" s="118"/>
      <c r="H567" s="118"/>
      <c r="I567" s="118"/>
      <c r="J567" s="118"/>
      <c r="K567" s="118"/>
      <c r="L567" s="118"/>
      <c r="M567" s="118"/>
    </row>
    <row r="568" spans="1:13" ht="12" customHeight="1" x14ac:dyDescent="0.3">
      <c r="A568" s="118"/>
      <c r="G568" s="118"/>
      <c r="H568" s="118"/>
      <c r="I568" s="118"/>
      <c r="J568" s="118"/>
      <c r="K568" s="118"/>
      <c r="L568" s="118"/>
      <c r="M568" s="118"/>
    </row>
    <row r="569" spans="1:13" ht="12" customHeight="1" x14ac:dyDescent="0.3">
      <c r="A569" s="118"/>
      <c r="G569" s="118"/>
      <c r="H569" s="118"/>
      <c r="I569" s="118"/>
      <c r="J569" s="118"/>
      <c r="K569" s="118"/>
      <c r="L569" s="118"/>
      <c r="M569" s="118"/>
    </row>
    <row r="570" spans="1:13" ht="12" customHeight="1" x14ac:dyDescent="0.3">
      <c r="A570" s="118"/>
      <c r="G570" s="118"/>
      <c r="H570" s="118"/>
      <c r="I570" s="118"/>
      <c r="J570" s="118"/>
      <c r="K570" s="118"/>
      <c r="L570" s="118"/>
      <c r="M570" s="118"/>
    </row>
    <row r="571" spans="1:13" ht="12" customHeight="1" x14ac:dyDescent="0.3">
      <c r="A571" s="118"/>
      <c r="G571" s="118"/>
      <c r="H571" s="118"/>
      <c r="I571" s="118"/>
      <c r="J571" s="118"/>
      <c r="K571" s="118"/>
      <c r="L571" s="118"/>
      <c r="M571" s="118"/>
    </row>
    <row r="572" spans="1:13" ht="12" customHeight="1" x14ac:dyDescent="0.3">
      <c r="A572" s="118"/>
      <c r="G572" s="118"/>
      <c r="H572" s="118"/>
      <c r="I572" s="118"/>
      <c r="J572" s="118"/>
      <c r="K572" s="118"/>
      <c r="L572" s="118"/>
      <c r="M572" s="118"/>
    </row>
    <row r="573" spans="1:13" ht="12" customHeight="1" x14ac:dyDescent="0.3">
      <c r="A573" s="118"/>
      <c r="G573" s="118"/>
      <c r="H573" s="118"/>
      <c r="I573" s="118"/>
      <c r="J573" s="118"/>
      <c r="K573" s="118"/>
      <c r="L573" s="118"/>
      <c r="M573" s="118"/>
    </row>
    <row r="574" spans="1:13" ht="12" customHeight="1" x14ac:dyDescent="0.3">
      <c r="A574" s="118"/>
      <c r="G574" s="118"/>
      <c r="H574" s="118"/>
      <c r="I574" s="118"/>
      <c r="J574" s="118"/>
      <c r="K574" s="118"/>
      <c r="L574" s="118"/>
      <c r="M574" s="118"/>
    </row>
    <row r="575" spans="1:13" ht="12" customHeight="1" x14ac:dyDescent="0.3">
      <c r="A575" s="118"/>
      <c r="G575" s="118"/>
      <c r="H575" s="118"/>
      <c r="I575" s="118"/>
      <c r="J575" s="118"/>
      <c r="K575" s="118"/>
      <c r="L575" s="118"/>
      <c r="M575" s="118"/>
    </row>
    <row r="576" spans="1:13" ht="12" customHeight="1" x14ac:dyDescent="0.3">
      <c r="A576" s="118"/>
      <c r="G576" s="118"/>
      <c r="H576" s="118"/>
      <c r="I576" s="118"/>
      <c r="J576" s="118"/>
      <c r="K576" s="118"/>
      <c r="L576" s="118"/>
      <c r="M576" s="118"/>
    </row>
    <row r="577" spans="1:13" ht="12" customHeight="1" x14ac:dyDescent="0.3">
      <c r="A577" s="118"/>
      <c r="G577" s="118"/>
      <c r="H577" s="118"/>
      <c r="I577" s="118"/>
      <c r="J577" s="118"/>
      <c r="K577" s="118"/>
      <c r="L577" s="118"/>
      <c r="M577" s="118"/>
    </row>
    <row r="578" spans="1:13" ht="12" customHeight="1" x14ac:dyDescent="0.3">
      <c r="A578" s="118"/>
      <c r="G578" s="118"/>
      <c r="H578" s="118"/>
      <c r="I578" s="118"/>
      <c r="J578" s="118"/>
      <c r="K578" s="118"/>
      <c r="L578" s="118"/>
      <c r="M578" s="118"/>
    </row>
    <row r="579" spans="1:13" ht="12" customHeight="1" x14ac:dyDescent="0.3">
      <c r="A579" s="118"/>
      <c r="G579" s="118"/>
      <c r="H579" s="118"/>
      <c r="I579" s="118"/>
      <c r="J579" s="118"/>
      <c r="K579" s="118"/>
      <c r="L579" s="118"/>
      <c r="M579" s="118"/>
    </row>
    <row r="580" spans="1:13" ht="12" customHeight="1" x14ac:dyDescent="0.3">
      <c r="A580" s="118"/>
      <c r="G580" s="118"/>
      <c r="H580" s="118"/>
      <c r="I580" s="118"/>
      <c r="J580" s="118"/>
      <c r="K580" s="118"/>
      <c r="L580" s="118"/>
      <c r="M580" s="118"/>
    </row>
    <row r="581" spans="1:13" ht="12" customHeight="1" x14ac:dyDescent="0.3">
      <c r="A581" s="118"/>
      <c r="G581" s="118"/>
      <c r="H581" s="118"/>
      <c r="I581" s="118"/>
      <c r="J581" s="118"/>
      <c r="K581" s="118"/>
      <c r="L581" s="118"/>
      <c r="M581" s="118"/>
    </row>
    <row r="582" spans="1:13" ht="12" customHeight="1" x14ac:dyDescent="0.3">
      <c r="A582" s="118"/>
      <c r="G582" s="118"/>
      <c r="H582" s="118"/>
      <c r="I582" s="118"/>
      <c r="J582" s="118"/>
      <c r="K582" s="118"/>
      <c r="L582" s="118"/>
      <c r="M582" s="118"/>
    </row>
    <row r="583" spans="1:13" ht="12" customHeight="1" x14ac:dyDescent="0.3">
      <c r="A583" s="118"/>
      <c r="G583" s="118"/>
      <c r="H583" s="118"/>
      <c r="I583" s="118"/>
      <c r="J583" s="118"/>
      <c r="K583" s="118"/>
      <c r="L583" s="118"/>
      <c r="M583" s="118"/>
    </row>
    <row r="584" spans="1:13" ht="12" customHeight="1" x14ac:dyDescent="0.3">
      <c r="A584" s="118"/>
      <c r="G584" s="118"/>
      <c r="H584" s="118"/>
      <c r="I584" s="118"/>
      <c r="J584" s="118"/>
      <c r="K584" s="118"/>
      <c r="L584" s="118"/>
      <c r="M584" s="118"/>
    </row>
    <row r="585" spans="1:13" ht="12" customHeight="1" x14ac:dyDescent="0.3">
      <c r="A585" s="118"/>
      <c r="G585" s="118"/>
      <c r="H585" s="118"/>
      <c r="I585" s="118"/>
      <c r="J585" s="118"/>
      <c r="K585" s="118"/>
      <c r="L585" s="118"/>
      <c r="M585" s="118"/>
    </row>
    <row r="586" spans="1:13" ht="12" customHeight="1" x14ac:dyDescent="0.3">
      <c r="A586" s="118"/>
      <c r="G586" s="118"/>
      <c r="H586" s="118"/>
      <c r="I586" s="118"/>
      <c r="J586" s="118"/>
      <c r="K586" s="118"/>
      <c r="L586" s="118"/>
      <c r="M586" s="118"/>
    </row>
    <row r="587" spans="1:13" ht="12" customHeight="1" x14ac:dyDescent="0.3">
      <c r="A587" s="118"/>
      <c r="G587" s="118"/>
      <c r="H587" s="118"/>
      <c r="I587" s="118"/>
      <c r="J587" s="118"/>
      <c r="K587" s="118"/>
      <c r="L587" s="118"/>
      <c r="M587" s="118"/>
    </row>
    <row r="588" spans="1:13" ht="12" customHeight="1" x14ac:dyDescent="0.3">
      <c r="A588" s="118"/>
      <c r="G588" s="118"/>
      <c r="H588" s="118"/>
      <c r="I588" s="118"/>
      <c r="J588" s="118"/>
      <c r="K588" s="118"/>
      <c r="L588" s="118"/>
      <c r="M588" s="118"/>
    </row>
    <row r="589" spans="1:13" ht="12" customHeight="1" x14ac:dyDescent="0.3">
      <c r="A589" s="118"/>
      <c r="G589" s="118"/>
      <c r="H589" s="118"/>
      <c r="I589" s="118"/>
      <c r="J589" s="118"/>
      <c r="K589" s="118"/>
      <c r="L589" s="118"/>
      <c r="M589" s="118"/>
    </row>
    <row r="590" spans="1:13" ht="12" customHeight="1" x14ac:dyDescent="0.3">
      <c r="A590" s="118"/>
      <c r="G590" s="118"/>
      <c r="H590" s="118"/>
      <c r="I590" s="118"/>
      <c r="J590" s="118"/>
      <c r="K590" s="118"/>
      <c r="L590" s="118"/>
      <c r="M590" s="118"/>
    </row>
    <row r="591" spans="1:13" ht="12" customHeight="1" x14ac:dyDescent="0.3">
      <c r="A591" s="118"/>
      <c r="G591" s="118"/>
      <c r="H591" s="118"/>
      <c r="I591" s="118"/>
      <c r="J591" s="118"/>
      <c r="K591" s="118"/>
      <c r="L591" s="118"/>
      <c r="M591" s="118"/>
    </row>
    <row r="592" spans="1:13" ht="12" customHeight="1" x14ac:dyDescent="0.3">
      <c r="A592" s="118"/>
      <c r="G592" s="118"/>
      <c r="H592" s="118"/>
      <c r="I592" s="118"/>
      <c r="J592" s="118"/>
      <c r="K592" s="118"/>
      <c r="L592" s="118"/>
      <c r="M592" s="118"/>
    </row>
    <row r="593" spans="1:13" ht="12" customHeight="1" x14ac:dyDescent="0.3">
      <c r="A593" s="118"/>
      <c r="G593" s="118"/>
      <c r="H593" s="118"/>
      <c r="I593" s="118"/>
      <c r="J593" s="118"/>
      <c r="K593" s="118"/>
      <c r="L593" s="118"/>
      <c r="M593" s="118"/>
    </row>
    <row r="594" spans="1:13" ht="12" customHeight="1" x14ac:dyDescent="0.3">
      <c r="A594" s="118"/>
      <c r="G594" s="118"/>
      <c r="H594" s="118"/>
      <c r="I594" s="118"/>
      <c r="J594" s="118"/>
      <c r="K594" s="118"/>
      <c r="L594" s="118"/>
      <c r="M594" s="118"/>
    </row>
    <row r="595" spans="1:13" ht="12" customHeight="1" x14ac:dyDescent="0.3">
      <c r="A595" s="118"/>
      <c r="G595" s="118"/>
      <c r="H595" s="118"/>
      <c r="I595" s="118"/>
      <c r="J595" s="118"/>
      <c r="K595" s="118"/>
      <c r="L595" s="118"/>
      <c r="M595" s="118"/>
    </row>
    <row r="596" spans="1:13" ht="12" customHeight="1" x14ac:dyDescent="0.3">
      <c r="A596" s="118"/>
      <c r="G596" s="118"/>
      <c r="H596" s="118"/>
      <c r="I596" s="118"/>
      <c r="J596" s="118"/>
      <c r="K596" s="118"/>
      <c r="L596" s="118"/>
      <c r="M596" s="118"/>
    </row>
    <row r="597" spans="1:13" ht="12" customHeight="1" x14ac:dyDescent="0.3">
      <c r="A597" s="118"/>
      <c r="G597" s="118"/>
      <c r="H597" s="118"/>
      <c r="I597" s="118"/>
      <c r="J597" s="118"/>
      <c r="K597" s="118"/>
      <c r="L597" s="118"/>
      <c r="M597" s="118"/>
    </row>
    <row r="598" spans="1:13" ht="12" customHeight="1" x14ac:dyDescent="0.3">
      <c r="A598" s="118"/>
      <c r="G598" s="118"/>
      <c r="H598" s="118"/>
      <c r="I598" s="118"/>
      <c r="J598" s="118"/>
      <c r="K598" s="118"/>
      <c r="L598" s="118"/>
      <c r="M598" s="118"/>
    </row>
    <row r="599" spans="1:13" ht="12" customHeight="1" x14ac:dyDescent="0.3">
      <c r="A599" s="118"/>
      <c r="G599" s="118"/>
      <c r="H599" s="118"/>
      <c r="I599" s="118"/>
      <c r="J599" s="118"/>
      <c r="K599" s="118"/>
      <c r="L599" s="118"/>
      <c r="M599" s="118"/>
    </row>
    <row r="600" spans="1:13" ht="12" customHeight="1" x14ac:dyDescent="0.3">
      <c r="A600" s="118"/>
      <c r="G600" s="118"/>
      <c r="H600" s="118"/>
      <c r="I600" s="118"/>
      <c r="J600" s="118"/>
      <c r="K600" s="118"/>
      <c r="L600" s="118"/>
      <c r="M600" s="118"/>
    </row>
    <row r="601" spans="1:13" ht="12" customHeight="1" x14ac:dyDescent="0.3">
      <c r="A601" s="118"/>
      <c r="G601" s="118"/>
      <c r="H601" s="118"/>
      <c r="I601" s="118"/>
      <c r="J601" s="118"/>
      <c r="K601" s="118"/>
      <c r="L601" s="118"/>
      <c r="M601" s="118"/>
    </row>
    <row r="602" spans="1:13" ht="12" customHeight="1" x14ac:dyDescent="0.3">
      <c r="A602" s="118"/>
      <c r="G602" s="118"/>
      <c r="H602" s="118"/>
      <c r="I602" s="118"/>
      <c r="J602" s="118"/>
      <c r="K602" s="118"/>
      <c r="L602" s="118"/>
      <c r="M602" s="118"/>
    </row>
    <row r="603" spans="1:13" ht="12" customHeight="1" x14ac:dyDescent="0.3">
      <c r="A603" s="118"/>
      <c r="G603" s="118"/>
      <c r="H603" s="118"/>
      <c r="I603" s="118"/>
      <c r="J603" s="118"/>
      <c r="K603" s="118"/>
      <c r="L603" s="118"/>
      <c r="M603" s="118"/>
    </row>
    <row r="604" spans="1:13" ht="12" customHeight="1" x14ac:dyDescent="0.3">
      <c r="A604" s="118"/>
      <c r="G604" s="118"/>
      <c r="H604" s="118"/>
      <c r="I604" s="118"/>
      <c r="J604" s="118"/>
      <c r="K604" s="118"/>
      <c r="L604" s="118"/>
      <c r="M604" s="118"/>
    </row>
    <row r="605" spans="1:13" ht="12" customHeight="1" x14ac:dyDescent="0.3">
      <c r="A605" s="118"/>
      <c r="G605" s="118"/>
      <c r="H605" s="118"/>
      <c r="I605" s="118"/>
      <c r="J605" s="118"/>
      <c r="K605" s="118"/>
      <c r="L605" s="118"/>
      <c r="M605" s="118"/>
    </row>
    <row r="606" spans="1:13" ht="12" customHeight="1" x14ac:dyDescent="0.3">
      <c r="A606" s="118"/>
      <c r="G606" s="118"/>
      <c r="H606" s="118"/>
      <c r="I606" s="118"/>
      <c r="J606" s="118"/>
      <c r="K606" s="118"/>
      <c r="L606" s="118"/>
      <c r="M606" s="118"/>
    </row>
    <row r="607" spans="1:13" ht="12" customHeight="1" x14ac:dyDescent="0.3">
      <c r="A607" s="118"/>
      <c r="G607" s="118"/>
      <c r="H607" s="118"/>
      <c r="I607" s="118"/>
      <c r="J607" s="118"/>
      <c r="K607" s="118"/>
      <c r="L607" s="118"/>
      <c r="M607" s="118"/>
    </row>
    <row r="608" spans="1:13" ht="12" customHeight="1" x14ac:dyDescent="0.3">
      <c r="A608" s="118"/>
      <c r="G608" s="118"/>
      <c r="H608" s="118"/>
      <c r="I608" s="118"/>
      <c r="J608" s="118"/>
      <c r="K608" s="118"/>
      <c r="L608" s="118"/>
      <c r="M608" s="118"/>
    </row>
    <row r="609" spans="1:13" ht="12" customHeight="1" x14ac:dyDescent="0.3">
      <c r="A609" s="118"/>
      <c r="G609" s="118"/>
      <c r="H609" s="118"/>
      <c r="I609" s="118"/>
      <c r="J609" s="118"/>
      <c r="K609" s="118"/>
      <c r="L609" s="118"/>
      <c r="M609" s="118"/>
    </row>
    <row r="610" spans="1:13" ht="12" customHeight="1" x14ac:dyDescent="0.3">
      <c r="A610" s="118"/>
      <c r="G610" s="118"/>
      <c r="H610" s="118"/>
      <c r="I610" s="118"/>
      <c r="J610" s="118"/>
      <c r="K610" s="118"/>
      <c r="L610" s="118"/>
      <c r="M610" s="118"/>
    </row>
    <row r="611" spans="1:13" ht="12" customHeight="1" x14ac:dyDescent="0.3">
      <c r="A611" s="118"/>
      <c r="G611" s="118"/>
      <c r="H611" s="118"/>
      <c r="I611" s="118"/>
      <c r="J611" s="118"/>
      <c r="K611" s="118"/>
      <c r="L611" s="118"/>
      <c r="M611" s="118"/>
    </row>
    <row r="612" spans="1:13" ht="12" customHeight="1" x14ac:dyDescent="0.3">
      <c r="A612" s="118"/>
      <c r="G612" s="118"/>
      <c r="H612" s="118"/>
      <c r="I612" s="118"/>
      <c r="J612" s="118"/>
      <c r="K612" s="118"/>
      <c r="L612" s="118"/>
      <c r="M612" s="118"/>
    </row>
    <row r="613" spans="1:13" ht="12" customHeight="1" x14ac:dyDescent="0.3">
      <c r="A613" s="118"/>
      <c r="G613" s="118"/>
      <c r="H613" s="118"/>
      <c r="I613" s="118"/>
      <c r="J613" s="118"/>
      <c r="K613" s="118"/>
      <c r="L613" s="118"/>
      <c r="M613" s="118"/>
    </row>
    <row r="614" spans="1:13" ht="12" customHeight="1" x14ac:dyDescent="0.3">
      <c r="A614" s="118"/>
      <c r="G614" s="118"/>
      <c r="H614" s="118"/>
      <c r="I614" s="118"/>
      <c r="J614" s="118"/>
      <c r="K614" s="118"/>
      <c r="L614" s="118"/>
      <c r="M614" s="118"/>
    </row>
    <row r="615" spans="1:13" ht="12" customHeight="1" x14ac:dyDescent="0.3">
      <c r="A615" s="118"/>
      <c r="G615" s="118"/>
      <c r="H615" s="118"/>
      <c r="I615" s="118"/>
      <c r="J615" s="118"/>
      <c r="K615" s="118"/>
      <c r="L615" s="118"/>
      <c r="M615" s="118"/>
    </row>
    <row r="616" spans="1:13" ht="12" customHeight="1" x14ac:dyDescent="0.3">
      <c r="A616" s="118"/>
      <c r="G616" s="118"/>
      <c r="H616" s="118"/>
      <c r="I616" s="118"/>
      <c r="J616" s="118"/>
      <c r="K616" s="118"/>
      <c r="L616" s="118"/>
      <c r="M616" s="118"/>
    </row>
    <row r="617" spans="1:13" ht="12" customHeight="1" x14ac:dyDescent="0.3">
      <c r="A617" s="118"/>
      <c r="G617" s="118"/>
      <c r="H617" s="118"/>
      <c r="I617" s="118"/>
      <c r="J617" s="118"/>
      <c r="K617" s="118"/>
      <c r="L617" s="118"/>
      <c r="M617" s="118"/>
    </row>
    <row r="618" spans="1:13" ht="12" customHeight="1" x14ac:dyDescent="0.3">
      <c r="A618" s="118"/>
      <c r="G618" s="118"/>
      <c r="H618" s="118"/>
      <c r="I618" s="118"/>
      <c r="J618" s="118"/>
      <c r="K618" s="118"/>
      <c r="L618" s="118"/>
      <c r="M618" s="118"/>
    </row>
    <row r="619" spans="1:13" ht="12" customHeight="1" x14ac:dyDescent="0.3">
      <c r="A619" s="118"/>
      <c r="G619" s="118"/>
      <c r="H619" s="118"/>
      <c r="I619" s="118"/>
      <c r="J619" s="118"/>
      <c r="K619" s="118"/>
      <c r="L619" s="118"/>
      <c r="M619" s="118"/>
    </row>
    <row r="620" spans="1:13" ht="12" customHeight="1" x14ac:dyDescent="0.3">
      <c r="A620" s="118"/>
      <c r="G620" s="118"/>
      <c r="H620" s="118"/>
      <c r="I620" s="118"/>
      <c r="J620" s="118"/>
      <c r="K620" s="118"/>
      <c r="L620" s="118"/>
      <c r="M620" s="118"/>
    </row>
    <row r="621" spans="1:13" ht="12" customHeight="1" x14ac:dyDescent="0.3">
      <c r="A621" s="118"/>
      <c r="G621" s="118"/>
      <c r="H621" s="118"/>
      <c r="I621" s="118"/>
      <c r="J621" s="118"/>
      <c r="K621" s="118"/>
      <c r="L621" s="118"/>
      <c r="M621" s="118"/>
    </row>
    <row r="622" spans="1:13" ht="12" customHeight="1" x14ac:dyDescent="0.3">
      <c r="A622" s="118"/>
      <c r="G622" s="118"/>
      <c r="H622" s="118"/>
      <c r="I622" s="118"/>
      <c r="J622" s="118"/>
      <c r="K622" s="118"/>
      <c r="L622" s="118"/>
      <c r="M622" s="118"/>
    </row>
    <row r="623" spans="1:13" ht="12" customHeight="1" x14ac:dyDescent="0.3">
      <c r="A623" s="118"/>
      <c r="G623" s="118"/>
      <c r="H623" s="118"/>
      <c r="I623" s="118"/>
      <c r="J623" s="118"/>
      <c r="K623" s="118"/>
      <c r="L623" s="118"/>
      <c r="M623" s="118"/>
    </row>
    <row r="624" spans="1:13" ht="12" customHeight="1" x14ac:dyDescent="0.3">
      <c r="A624" s="118"/>
      <c r="G624" s="118"/>
      <c r="H624" s="118"/>
      <c r="I624" s="118"/>
      <c r="J624" s="118"/>
      <c r="K624" s="118"/>
      <c r="L624" s="118"/>
      <c r="M624" s="118"/>
    </row>
    <row r="625" spans="1:13" ht="12" customHeight="1" x14ac:dyDescent="0.3">
      <c r="A625" s="118"/>
      <c r="G625" s="118"/>
      <c r="H625" s="118"/>
      <c r="I625" s="118"/>
      <c r="J625" s="118"/>
      <c r="K625" s="118"/>
      <c r="L625" s="118"/>
      <c r="M625" s="118"/>
    </row>
    <row r="626" spans="1:13" ht="12" customHeight="1" x14ac:dyDescent="0.3">
      <c r="A626" s="118"/>
      <c r="G626" s="118"/>
      <c r="H626" s="118"/>
      <c r="I626" s="118"/>
      <c r="J626" s="118"/>
      <c r="K626" s="118"/>
      <c r="L626" s="118"/>
      <c r="M626" s="118"/>
    </row>
    <row r="627" spans="1:13" ht="12" customHeight="1" x14ac:dyDescent="0.3">
      <c r="A627" s="118"/>
      <c r="G627" s="118"/>
      <c r="H627" s="118"/>
      <c r="I627" s="118"/>
      <c r="J627" s="118"/>
      <c r="K627" s="118"/>
      <c r="L627" s="118"/>
      <c r="M627" s="118"/>
    </row>
    <row r="628" spans="1:13" ht="12" customHeight="1" x14ac:dyDescent="0.3">
      <c r="A628" s="118"/>
      <c r="G628" s="118"/>
      <c r="H628" s="118"/>
      <c r="I628" s="118"/>
      <c r="J628" s="118"/>
      <c r="K628" s="118"/>
      <c r="L628" s="118"/>
      <c r="M628" s="118"/>
    </row>
    <row r="629" spans="1:13" ht="12" customHeight="1" x14ac:dyDescent="0.3">
      <c r="A629" s="118"/>
      <c r="G629" s="118"/>
      <c r="H629" s="118"/>
      <c r="I629" s="118"/>
      <c r="J629" s="118"/>
      <c r="K629" s="118"/>
      <c r="L629" s="118"/>
      <c r="M629" s="118"/>
    </row>
    <row r="630" spans="1:13" ht="12" customHeight="1" x14ac:dyDescent="0.3">
      <c r="A630" s="118"/>
      <c r="G630" s="118"/>
      <c r="H630" s="118"/>
      <c r="I630" s="118"/>
      <c r="J630" s="118"/>
      <c r="K630" s="118"/>
      <c r="L630" s="118"/>
      <c r="M630" s="118"/>
    </row>
    <row r="631" spans="1:13" ht="12" customHeight="1" x14ac:dyDescent="0.3">
      <c r="A631" s="118"/>
      <c r="G631" s="118"/>
      <c r="H631" s="118"/>
      <c r="I631" s="118"/>
      <c r="J631" s="118"/>
      <c r="K631" s="118"/>
      <c r="L631" s="118"/>
      <c r="M631" s="118"/>
    </row>
    <row r="632" spans="1:13" ht="12" customHeight="1" x14ac:dyDescent="0.3">
      <c r="A632" s="118"/>
      <c r="G632" s="118"/>
      <c r="H632" s="118"/>
      <c r="I632" s="118"/>
      <c r="J632" s="118"/>
      <c r="K632" s="118"/>
      <c r="L632" s="118"/>
      <c r="M632" s="118"/>
    </row>
    <row r="633" spans="1:13" ht="12" customHeight="1" x14ac:dyDescent="0.3">
      <c r="A633" s="118"/>
      <c r="G633" s="118"/>
      <c r="H633" s="118"/>
      <c r="I633" s="118"/>
      <c r="J633" s="118"/>
      <c r="K633" s="118"/>
      <c r="L633" s="118"/>
      <c r="M633" s="118"/>
    </row>
    <row r="634" spans="1:13" ht="12" customHeight="1" x14ac:dyDescent="0.3">
      <c r="A634" s="118"/>
      <c r="G634" s="118"/>
      <c r="H634" s="118"/>
      <c r="I634" s="118"/>
      <c r="J634" s="118"/>
      <c r="K634" s="118"/>
      <c r="L634" s="118"/>
      <c r="M634" s="118"/>
    </row>
    <row r="635" spans="1:13" ht="12" customHeight="1" x14ac:dyDescent="0.3">
      <c r="A635" s="118"/>
      <c r="G635" s="118"/>
      <c r="H635" s="118"/>
      <c r="I635" s="118"/>
      <c r="J635" s="118"/>
      <c r="K635" s="118"/>
      <c r="L635" s="118"/>
      <c r="M635" s="118"/>
    </row>
    <row r="636" spans="1:13" ht="12" customHeight="1" x14ac:dyDescent="0.3">
      <c r="A636" s="118"/>
      <c r="G636" s="118"/>
      <c r="H636" s="118"/>
      <c r="I636" s="118"/>
      <c r="J636" s="118"/>
      <c r="K636" s="118"/>
      <c r="L636" s="118"/>
      <c r="M636" s="118"/>
    </row>
    <row r="637" spans="1:13" ht="12" customHeight="1" x14ac:dyDescent="0.3">
      <c r="A637" s="118"/>
      <c r="G637" s="118"/>
      <c r="H637" s="118"/>
      <c r="I637" s="118"/>
      <c r="J637" s="118"/>
      <c r="K637" s="118"/>
      <c r="L637" s="118"/>
      <c r="M637" s="118"/>
    </row>
    <row r="638" spans="1:13" ht="12" customHeight="1" x14ac:dyDescent="0.3">
      <c r="A638" s="118"/>
      <c r="G638" s="118"/>
      <c r="H638" s="118"/>
      <c r="I638" s="118"/>
      <c r="J638" s="118"/>
      <c r="K638" s="118"/>
      <c r="L638" s="118"/>
      <c r="M638" s="118"/>
    </row>
    <row r="639" spans="1:13" ht="12" customHeight="1" x14ac:dyDescent="0.3">
      <c r="A639" s="118"/>
      <c r="G639" s="118"/>
      <c r="H639" s="118"/>
      <c r="I639" s="118"/>
      <c r="J639" s="118"/>
      <c r="K639" s="118"/>
      <c r="L639" s="118"/>
      <c r="M639" s="118"/>
    </row>
    <row r="640" spans="1:13" ht="12" customHeight="1" x14ac:dyDescent="0.3">
      <c r="A640" s="118"/>
      <c r="G640" s="118"/>
      <c r="H640" s="118"/>
      <c r="I640" s="118"/>
      <c r="J640" s="118"/>
      <c r="K640" s="118"/>
      <c r="L640" s="118"/>
      <c r="M640" s="118"/>
    </row>
    <row r="641" spans="1:13" ht="12" customHeight="1" x14ac:dyDescent="0.3">
      <c r="A641" s="118"/>
      <c r="G641" s="118"/>
      <c r="H641" s="118"/>
      <c r="I641" s="118"/>
      <c r="J641" s="118"/>
      <c r="K641" s="118"/>
      <c r="L641" s="118"/>
      <c r="M641" s="118"/>
    </row>
    <row r="642" spans="1:13" ht="12" customHeight="1" x14ac:dyDescent="0.3">
      <c r="A642" s="118"/>
      <c r="G642" s="118"/>
      <c r="H642" s="118"/>
      <c r="I642" s="118"/>
      <c r="J642" s="118"/>
      <c r="K642" s="118"/>
      <c r="L642" s="118"/>
      <c r="M642" s="118"/>
    </row>
    <row r="643" spans="1:13" ht="12" customHeight="1" x14ac:dyDescent="0.3">
      <c r="A643" s="118"/>
      <c r="G643" s="118"/>
      <c r="H643" s="118"/>
      <c r="I643" s="118"/>
      <c r="J643" s="118"/>
      <c r="K643" s="118"/>
      <c r="L643" s="118"/>
      <c r="M643" s="118"/>
    </row>
    <row r="644" spans="1:13" ht="12" customHeight="1" x14ac:dyDescent="0.3">
      <c r="A644" s="118"/>
      <c r="G644" s="118"/>
      <c r="H644" s="118"/>
      <c r="I644" s="118"/>
      <c r="J644" s="118"/>
      <c r="K644" s="118"/>
      <c r="L644" s="118"/>
      <c r="M644" s="118"/>
    </row>
    <row r="645" spans="1:13" ht="12" customHeight="1" x14ac:dyDescent="0.3">
      <c r="A645" s="118"/>
      <c r="G645" s="118"/>
      <c r="H645" s="118"/>
      <c r="I645" s="118"/>
      <c r="J645" s="118"/>
      <c r="K645" s="118"/>
      <c r="L645" s="118"/>
      <c r="M645" s="118"/>
    </row>
    <row r="646" spans="1:13" ht="12" customHeight="1" x14ac:dyDescent="0.3">
      <c r="A646" s="118"/>
      <c r="G646" s="118"/>
      <c r="H646" s="118"/>
      <c r="I646" s="118"/>
      <c r="J646" s="118"/>
      <c r="K646" s="118"/>
      <c r="L646" s="118"/>
      <c r="M646" s="118"/>
    </row>
    <row r="647" spans="1:13" ht="12" customHeight="1" x14ac:dyDescent="0.3">
      <c r="A647" s="118"/>
      <c r="G647" s="118"/>
      <c r="H647" s="118"/>
      <c r="I647" s="118"/>
      <c r="J647" s="118"/>
      <c r="K647" s="118"/>
      <c r="L647" s="118"/>
      <c r="M647" s="118"/>
    </row>
    <row r="648" spans="1:13" ht="12" customHeight="1" x14ac:dyDescent="0.3">
      <c r="A648" s="118"/>
      <c r="G648" s="118"/>
      <c r="H648" s="118"/>
      <c r="I648" s="118"/>
      <c r="J648" s="118"/>
      <c r="K648" s="118"/>
      <c r="L648" s="118"/>
      <c r="M648" s="118"/>
    </row>
    <row r="649" spans="1:13" ht="12" customHeight="1" x14ac:dyDescent="0.3">
      <c r="A649" s="118"/>
      <c r="G649" s="118"/>
      <c r="H649" s="118"/>
      <c r="I649" s="118"/>
      <c r="J649" s="118"/>
      <c r="K649" s="118"/>
      <c r="L649" s="118"/>
      <c r="M649" s="118"/>
    </row>
    <row r="650" spans="1:13" ht="12" customHeight="1" x14ac:dyDescent="0.3">
      <c r="A650" s="118"/>
      <c r="G650" s="118"/>
      <c r="H650" s="118"/>
      <c r="I650" s="118"/>
      <c r="J650" s="118"/>
      <c r="K650" s="118"/>
      <c r="L650" s="118"/>
      <c r="M650" s="118"/>
    </row>
    <row r="651" spans="1:13" ht="12" customHeight="1" x14ac:dyDescent="0.3">
      <c r="A651" s="118"/>
      <c r="G651" s="118"/>
      <c r="H651" s="118"/>
      <c r="I651" s="118"/>
      <c r="J651" s="118"/>
      <c r="K651" s="118"/>
      <c r="L651" s="118"/>
      <c r="M651" s="118"/>
    </row>
    <row r="652" spans="1:13" ht="12" customHeight="1" x14ac:dyDescent="0.3">
      <c r="A652" s="118"/>
      <c r="G652" s="118"/>
      <c r="H652" s="118"/>
      <c r="I652" s="118"/>
      <c r="J652" s="118"/>
      <c r="K652" s="118"/>
      <c r="L652" s="118"/>
      <c r="M652" s="118"/>
    </row>
    <row r="653" spans="1:13" ht="12" customHeight="1" x14ac:dyDescent="0.3">
      <c r="A653" s="118"/>
      <c r="G653" s="118"/>
      <c r="H653" s="118"/>
      <c r="I653" s="118"/>
      <c r="J653" s="118"/>
      <c r="K653" s="118"/>
      <c r="L653" s="118"/>
      <c r="M653" s="118"/>
    </row>
    <row r="654" spans="1:13" ht="12" customHeight="1" x14ac:dyDescent="0.3">
      <c r="A654" s="118"/>
      <c r="G654" s="118"/>
      <c r="H654" s="118"/>
      <c r="I654" s="118"/>
      <c r="J654" s="118"/>
      <c r="K654" s="118"/>
      <c r="L654" s="118"/>
      <c r="M654" s="118"/>
    </row>
    <row r="655" spans="1:13" ht="12" customHeight="1" x14ac:dyDescent="0.3">
      <c r="A655" s="118"/>
      <c r="G655" s="118"/>
      <c r="H655" s="118"/>
      <c r="I655" s="118"/>
      <c r="J655" s="118"/>
      <c r="K655" s="118"/>
      <c r="L655" s="118"/>
      <c r="M655" s="118"/>
    </row>
    <row r="656" spans="1:13" ht="12" customHeight="1" x14ac:dyDescent="0.3">
      <c r="A656" s="118"/>
      <c r="G656" s="118"/>
      <c r="H656" s="118"/>
      <c r="I656" s="118"/>
      <c r="J656" s="118"/>
      <c r="K656" s="118"/>
      <c r="L656" s="118"/>
      <c r="M656" s="118"/>
    </row>
    <row r="657" spans="1:13" ht="12" customHeight="1" x14ac:dyDescent="0.3">
      <c r="A657" s="118"/>
      <c r="G657" s="118"/>
      <c r="H657" s="118"/>
      <c r="I657" s="118"/>
      <c r="J657" s="118"/>
      <c r="K657" s="118"/>
      <c r="L657" s="118"/>
      <c r="M657" s="118"/>
    </row>
    <row r="658" spans="1:13" ht="12" customHeight="1" x14ac:dyDescent="0.3">
      <c r="A658" s="118"/>
      <c r="G658" s="118"/>
      <c r="H658" s="118"/>
      <c r="I658" s="118"/>
      <c r="J658" s="118"/>
      <c r="K658" s="118"/>
      <c r="L658" s="118"/>
      <c r="M658" s="118"/>
    </row>
    <row r="659" spans="1:13" ht="12" customHeight="1" x14ac:dyDescent="0.3">
      <c r="A659" s="118"/>
      <c r="G659" s="118"/>
      <c r="H659" s="118"/>
      <c r="I659" s="118"/>
      <c r="J659" s="118"/>
      <c r="K659" s="118"/>
      <c r="L659" s="118"/>
      <c r="M659" s="118"/>
    </row>
    <row r="660" spans="1:13" ht="12" customHeight="1" x14ac:dyDescent="0.3">
      <c r="A660" s="118"/>
      <c r="G660" s="118"/>
      <c r="H660" s="118"/>
      <c r="I660" s="118"/>
      <c r="J660" s="118"/>
      <c r="K660" s="118"/>
      <c r="L660" s="118"/>
      <c r="M660" s="118"/>
    </row>
    <row r="661" spans="1:13" ht="12" customHeight="1" x14ac:dyDescent="0.3">
      <c r="A661" s="118"/>
      <c r="G661" s="118"/>
      <c r="H661" s="118"/>
      <c r="I661" s="118"/>
      <c r="J661" s="118"/>
      <c r="K661" s="118"/>
      <c r="L661" s="118"/>
      <c r="M661" s="118"/>
    </row>
    <row r="662" spans="1:13" ht="12" customHeight="1" x14ac:dyDescent="0.3">
      <c r="A662" s="118"/>
      <c r="G662" s="118"/>
      <c r="H662" s="118"/>
      <c r="I662" s="118"/>
      <c r="J662" s="118"/>
      <c r="K662" s="118"/>
      <c r="L662" s="118"/>
      <c r="M662" s="118"/>
    </row>
    <row r="663" spans="1:13" ht="12" customHeight="1" x14ac:dyDescent="0.3">
      <c r="A663" s="118"/>
      <c r="G663" s="118"/>
      <c r="H663" s="118"/>
      <c r="I663" s="118"/>
      <c r="J663" s="118"/>
      <c r="K663" s="118"/>
      <c r="L663" s="118"/>
      <c r="M663" s="118"/>
    </row>
    <row r="664" spans="1:13" ht="12" customHeight="1" x14ac:dyDescent="0.3">
      <c r="A664" s="118"/>
      <c r="G664" s="118"/>
      <c r="H664" s="118"/>
      <c r="I664" s="118"/>
      <c r="J664" s="118"/>
      <c r="K664" s="118"/>
      <c r="L664" s="118"/>
      <c r="M664" s="118"/>
    </row>
    <row r="665" spans="1:13" ht="12" customHeight="1" x14ac:dyDescent="0.3">
      <c r="A665" s="118"/>
      <c r="G665" s="118"/>
      <c r="H665" s="118"/>
      <c r="I665" s="118"/>
      <c r="J665" s="118"/>
      <c r="K665" s="118"/>
      <c r="L665" s="118"/>
      <c r="M665" s="118"/>
    </row>
    <row r="666" spans="1:13" ht="12" customHeight="1" x14ac:dyDescent="0.3">
      <c r="A666" s="118"/>
      <c r="G666" s="118"/>
      <c r="H666" s="118"/>
      <c r="I666" s="118"/>
      <c r="J666" s="118"/>
      <c r="K666" s="118"/>
      <c r="L666" s="118"/>
      <c r="M666" s="118"/>
    </row>
    <row r="667" spans="1:13" ht="12" customHeight="1" x14ac:dyDescent="0.3">
      <c r="A667" s="118"/>
      <c r="G667" s="118"/>
      <c r="H667" s="118"/>
      <c r="I667" s="118"/>
      <c r="J667" s="118"/>
      <c r="K667" s="118"/>
      <c r="L667" s="118"/>
      <c r="M667" s="118"/>
    </row>
    <row r="668" spans="1:13" ht="12" customHeight="1" x14ac:dyDescent="0.3">
      <c r="A668" s="118"/>
      <c r="G668" s="118"/>
      <c r="H668" s="118"/>
      <c r="I668" s="118"/>
      <c r="J668" s="118"/>
      <c r="K668" s="118"/>
      <c r="L668" s="118"/>
      <c r="M668" s="118"/>
    </row>
    <row r="669" spans="1:13" ht="12" customHeight="1" x14ac:dyDescent="0.3">
      <c r="A669" s="118"/>
      <c r="G669" s="118"/>
      <c r="H669" s="118"/>
      <c r="I669" s="118"/>
      <c r="J669" s="118"/>
      <c r="K669" s="118"/>
      <c r="L669" s="118"/>
      <c r="M669" s="118"/>
    </row>
    <row r="670" spans="1:13" ht="12" customHeight="1" x14ac:dyDescent="0.3">
      <c r="A670" s="118"/>
      <c r="G670" s="118"/>
      <c r="H670" s="118"/>
      <c r="I670" s="118"/>
      <c r="J670" s="118"/>
      <c r="K670" s="118"/>
      <c r="L670" s="118"/>
      <c r="M670" s="118"/>
    </row>
    <row r="671" spans="1:13" ht="12" customHeight="1" x14ac:dyDescent="0.3">
      <c r="A671" s="118"/>
      <c r="G671" s="118"/>
      <c r="H671" s="118"/>
      <c r="I671" s="118"/>
      <c r="J671" s="118"/>
      <c r="K671" s="118"/>
      <c r="L671" s="118"/>
      <c r="M671" s="118"/>
    </row>
    <row r="672" spans="1:13" ht="12" customHeight="1" x14ac:dyDescent="0.3">
      <c r="A672" s="118"/>
      <c r="G672" s="118"/>
      <c r="H672" s="118"/>
      <c r="I672" s="118"/>
      <c r="J672" s="118"/>
      <c r="K672" s="118"/>
      <c r="L672" s="118"/>
      <c r="M672" s="118"/>
    </row>
    <row r="673" spans="1:13" ht="12" customHeight="1" x14ac:dyDescent="0.3">
      <c r="A673" s="118"/>
      <c r="G673" s="118"/>
      <c r="H673" s="118"/>
      <c r="I673" s="118"/>
      <c r="J673" s="118"/>
      <c r="K673" s="118"/>
      <c r="L673" s="118"/>
      <c r="M673" s="118"/>
    </row>
    <row r="674" spans="1:13" ht="12" customHeight="1" x14ac:dyDescent="0.3">
      <c r="A674" s="118"/>
      <c r="G674" s="118"/>
      <c r="H674" s="118"/>
      <c r="I674" s="118"/>
      <c r="J674" s="118"/>
      <c r="K674" s="118"/>
      <c r="L674" s="118"/>
      <c r="M674" s="118"/>
    </row>
    <row r="675" spans="1:13" ht="12" customHeight="1" x14ac:dyDescent="0.3">
      <c r="A675" s="118"/>
      <c r="G675" s="118"/>
      <c r="H675" s="118"/>
      <c r="I675" s="118"/>
      <c r="J675" s="118"/>
      <c r="K675" s="118"/>
      <c r="L675" s="118"/>
      <c r="M675" s="118"/>
    </row>
    <row r="676" spans="1:13" ht="12" customHeight="1" x14ac:dyDescent="0.3">
      <c r="A676" s="118"/>
      <c r="G676" s="118"/>
      <c r="H676" s="118"/>
      <c r="I676" s="118"/>
      <c r="J676" s="118"/>
      <c r="K676" s="118"/>
      <c r="L676" s="118"/>
      <c r="M676" s="118"/>
    </row>
    <row r="677" spans="1:13" ht="12" customHeight="1" x14ac:dyDescent="0.3">
      <c r="A677" s="118"/>
      <c r="G677" s="118"/>
      <c r="H677" s="118"/>
      <c r="I677" s="118"/>
      <c r="J677" s="118"/>
      <c r="K677" s="118"/>
      <c r="L677" s="118"/>
      <c r="M677" s="118"/>
    </row>
    <row r="678" spans="1:13" ht="12" customHeight="1" x14ac:dyDescent="0.3">
      <c r="A678" s="118"/>
      <c r="G678" s="118"/>
      <c r="H678" s="118"/>
      <c r="I678" s="118"/>
      <c r="J678" s="118"/>
      <c r="K678" s="118"/>
      <c r="L678" s="118"/>
      <c r="M678" s="118"/>
    </row>
    <row r="679" spans="1:13" ht="12" customHeight="1" x14ac:dyDescent="0.3">
      <c r="A679" s="118"/>
      <c r="G679" s="118"/>
      <c r="H679" s="118"/>
      <c r="I679" s="118"/>
      <c r="J679" s="118"/>
      <c r="K679" s="118"/>
      <c r="L679" s="118"/>
      <c r="M679" s="118"/>
    </row>
    <row r="680" spans="1:13" ht="12" customHeight="1" x14ac:dyDescent="0.3">
      <c r="A680" s="118"/>
      <c r="G680" s="118"/>
      <c r="H680" s="118"/>
      <c r="I680" s="118"/>
      <c r="J680" s="118"/>
      <c r="K680" s="118"/>
      <c r="L680" s="118"/>
      <c r="M680" s="118"/>
    </row>
    <row r="681" spans="1:13" ht="12" customHeight="1" x14ac:dyDescent="0.3">
      <c r="A681" s="118"/>
      <c r="G681" s="118"/>
      <c r="H681" s="118"/>
      <c r="I681" s="118"/>
      <c r="J681" s="118"/>
      <c r="K681" s="118"/>
      <c r="L681" s="118"/>
      <c r="M681" s="118"/>
    </row>
    <row r="682" spans="1:13" ht="12" customHeight="1" x14ac:dyDescent="0.3">
      <c r="A682" s="118"/>
      <c r="G682" s="118"/>
      <c r="H682" s="118"/>
      <c r="I682" s="118"/>
      <c r="J682" s="118"/>
      <c r="K682" s="118"/>
      <c r="L682" s="118"/>
      <c r="M682" s="118"/>
    </row>
    <row r="683" spans="1:13" ht="12" customHeight="1" x14ac:dyDescent="0.3">
      <c r="A683" s="118"/>
      <c r="G683" s="118"/>
      <c r="H683" s="118"/>
      <c r="I683" s="118"/>
      <c r="J683" s="118"/>
      <c r="K683" s="118"/>
      <c r="L683" s="118"/>
      <c r="M683" s="118"/>
    </row>
    <row r="684" spans="1:13" ht="12" customHeight="1" x14ac:dyDescent="0.3">
      <c r="A684" s="118"/>
      <c r="G684" s="118"/>
      <c r="H684" s="118"/>
      <c r="I684" s="118"/>
      <c r="J684" s="118"/>
      <c r="K684" s="118"/>
      <c r="L684" s="118"/>
      <c r="M684" s="118"/>
    </row>
    <row r="685" spans="1:13" ht="12" customHeight="1" x14ac:dyDescent="0.3">
      <c r="A685" s="118"/>
      <c r="G685" s="118"/>
      <c r="H685" s="118"/>
      <c r="I685" s="118"/>
      <c r="J685" s="118"/>
      <c r="K685" s="118"/>
      <c r="L685" s="118"/>
      <c r="M685" s="118"/>
    </row>
    <row r="686" spans="1:13" ht="12" customHeight="1" x14ac:dyDescent="0.3">
      <c r="A686" s="118"/>
      <c r="G686" s="118"/>
      <c r="H686" s="118"/>
      <c r="I686" s="118"/>
      <c r="J686" s="118"/>
      <c r="K686" s="118"/>
      <c r="L686" s="118"/>
      <c r="M686" s="118"/>
    </row>
    <row r="687" spans="1:13" ht="12" customHeight="1" x14ac:dyDescent="0.3">
      <c r="A687" s="118"/>
      <c r="G687" s="118"/>
      <c r="H687" s="118"/>
      <c r="I687" s="118"/>
      <c r="J687" s="118"/>
      <c r="K687" s="118"/>
      <c r="L687" s="118"/>
      <c r="M687" s="118"/>
    </row>
    <row r="688" spans="1:13" ht="12" customHeight="1" x14ac:dyDescent="0.3">
      <c r="A688" s="118"/>
      <c r="G688" s="118"/>
      <c r="H688" s="118"/>
      <c r="I688" s="118"/>
      <c r="J688" s="118"/>
      <c r="K688" s="118"/>
      <c r="L688" s="118"/>
      <c r="M688" s="118"/>
    </row>
    <row r="689" spans="1:13" ht="12" customHeight="1" x14ac:dyDescent="0.3">
      <c r="A689" s="118"/>
      <c r="G689" s="118"/>
      <c r="H689" s="118"/>
      <c r="I689" s="118"/>
      <c r="J689" s="118"/>
      <c r="K689" s="118"/>
      <c r="L689" s="118"/>
      <c r="M689" s="118"/>
    </row>
    <row r="690" spans="1:13" ht="12" customHeight="1" x14ac:dyDescent="0.3">
      <c r="A690" s="118"/>
      <c r="G690" s="118"/>
      <c r="H690" s="118"/>
      <c r="I690" s="118"/>
      <c r="J690" s="118"/>
      <c r="K690" s="118"/>
      <c r="L690" s="118"/>
      <c r="M690" s="118"/>
    </row>
    <row r="691" spans="1:13" ht="12" customHeight="1" x14ac:dyDescent="0.3">
      <c r="A691" s="118"/>
      <c r="G691" s="118"/>
      <c r="H691" s="118"/>
      <c r="I691" s="118"/>
      <c r="J691" s="118"/>
      <c r="K691" s="118"/>
      <c r="L691" s="118"/>
      <c r="M691" s="118"/>
    </row>
    <row r="692" spans="1:13" ht="12" customHeight="1" x14ac:dyDescent="0.3">
      <c r="A692" s="118"/>
      <c r="G692" s="118"/>
      <c r="H692" s="118"/>
      <c r="I692" s="118"/>
      <c r="J692" s="118"/>
      <c r="K692" s="118"/>
      <c r="L692" s="118"/>
      <c r="M692" s="118"/>
    </row>
    <row r="693" spans="1:13" ht="12" customHeight="1" x14ac:dyDescent="0.3">
      <c r="A693" s="118"/>
      <c r="G693" s="118"/>
      <c r="H693" s="118"/>
      <c r="I693" s="118"/>
      <c r="J693" s="118"/>
      <c r="K693" s="118"/>
      <c r="L693" s="118"/>
      <c r="M693" s="118"/>
    </row>
    <row r="694" spans="1:13" ht="12" customHeight="1" x14ac:dyDescent="0.3">
      <c r="A694" s="118"/>
      <c r="G694" s="118"/>
      <c r="H694" s="118"/>
      <c r="I694" s="118"/>
      <c r="J694" s="118"/>
      <c r="K694" s="118"/>
      <c r="L694" s="118"/>
      <c r="M694" s="118"/>
    </row>
    <row r="695" spans="1:13" ht="12" customHeight="1" x14ac:dyDescent="0.3">
      <c r="A695" s="118"/>
      <c r="G695" s="118"/>
      <c r="H695" s="118"/>
      <c r="I695" s="118"/>
      <c r="J695" s="118"/>
      <c r="K695" s="118"/>
      <c r="L695" s="118"/>
      <c r="M695" s="118"/>
    </row>
    <row r="696" spans="1:13" ht="12" customHeight="1" x14ac:dyDescent="0.3">
      <c r="A696" s="118"/>
      <c r="G696" s="118"/>
      <c r="H696" s="118"/>
      <c r="I696" s="118"/>
      <c r="J696" s="118"/>
      <c r="K696" s="118"/>
      <c r="L696" s="118"/>
      <c r="M696" s="118"/>
    </row>
    <row r="697" spans="1:13" ht="12" customHeight="1" x14ac:dyDescent="0.3">
      <c r="A697" s="118"/>
      <c r="G697" s="118"/>
      <c r="H697" s="118"/>
      <c r="I697" s="118"/>
      <c r="J697" s="118"/>
      <c r="K697" s="118"/>
      <c r="L697" s="118"/>
      <c r="M697" s="118"/>
    </row>
    <row r="698" spans="1:13" ht="12" customHeight="1" x14ac:dyDescent="0.3">
      <c r="A698" s="118"/>
      <c r="G698" s="118"/>
      <c r="H698" s="118"/>
      <c r="I698" s="118"/>
      <c r="J698" s="118"/>
      <c r="K698" s="118"/>
      <c r="L698" s="118"/>
      <c r="M698" s="118"/>
    </row>
    <row r="699" spans="1:13" ht="12" customHeight="1" x14ac:dyDescent="0.3">
      <c r="A699" s="118"/>
      <c r="G699" s="118"/>
      <c r="H699" s="118"/>
      <c r="I699" s="118"/>
      <c r="J699" s="118"/>
      <c r="K699" s="118"/>
      <c r="L699" s="118"/>
      <c r="M699" s="118"/>
    </row>
    <row r="700" spans="1:13" ht="12" customHeight="1" x14ac:dyDescent="0.3">
      <c r="A700" s="118"/>
      <c r="G700" s="118"/>
      <c r="H700" s="118"/>
      <c r="I700" s="118"/>
      <c r="J700" s="118"/>
      <c r="K700" s="118"/>
      <c r="L700" s="118"/>
      <c r="M700" s="118"/>
    </row>
    <row r="701" spans="1:13" ht="12" customHeight="1" x14ac:dyDescent="0.3">
      <c r="A701" s="118"/>
      <c r="G701" s="118"/>
      <c r="H701" s="118"/>
      <c r="I701" s="118"/>
      <c r="J701" s="118"/>
      <c r="K701" s="118"/>
      <c r="L701" s="118"/>
      <c r="M701" s="118"/>
    </row>
    <row r="702" spans="1:13" ht="12" customHeight="1" x14ac:dyDescent="0.3">
      <c r="A702" s="118"/>
      <c r="G702" s="118"/>
      <c r="H702" s="118"/>
      <c r="I702" s="118"/>
      <c r="J702" s="118"/>
      <c r="K702" s="118"/>
      <c r="L702" s="118"/>
      <c r="M702" s="118"/>
    </row>
    <row r="703" spans="1:13" ht="12" customHeight="1" x14ac:dyDescent="0.3">
      <c r="A703" s="118"/>
      <c r="G703" s="118"/>
      <c r="H703" s="118"/>
      <c r="I703" s="118"/>
      <c r="J703" s="118"/>
      <c r="K703" s="118"/>
      <c r="L703" s="118"/>
      <c r="M703" s="118"/>
    </row>
    <row r="704" spans="1:13" ht="12" customHeight="1" x14ac:dyDescent="0.3">
      <c r="A704" s="118"/>
      <c r="G704" s="118"/>
      <c r="H704" s="118"/>
      <c r="I704" s="118"/>
      <c r="J704" s="118"/>
      <c r="K704" s="118"/>
      <c r="L704" s="118"/>
      <c r="M704" s="118"/>
    </row>
    <row r="705" spans="1:13" ht="12" customHeight="1" x14ac:dyDescent="0.3">
      <c r="A705" s="118"/>
      <c r="G705" s="118"/>
      <c r="H705" s="118"/>
      <c r="I705" s="118"/>
      <c r="J705" s="118"/>
      <c r="K705" s="118"/>
      <c r="L705" s="118"/>
      <c r="M705" s="118"/>
    </row>
    <row r="706" spans="1:13" ht="12" customHeight="1" x14ac:dyDescent="0.3">
      <c r="A706" s="118"/>
      <c r="G706" s="118"/>
      <c r="H706" s="118"/>
      <c r="I706" s="118"/>
      <c r="J706" s="118"/>
      <c r="K706" s="118"/>
      <c r="L706" s="118"/>
      <c r="M706" s="118"/>
    </row>
    <row r="707" spans="1:13" ht="12" customHeight="1" x14ac:dyDescent="0.3">
      <c r="A707" s="118"/>
      <c r="G707" s="118"/>
      <c r="H707" s="118"/>
      <c r="I707" s="118"/>
      <c r="J707" s="118"/>
      <c r="K707" s="118"/>
      <c r="L707" s="118"/>
      <c r="M707" s="118"/>
    </row>
    <row r="708" spans="1:13" ht="12" customHeight="1" x14ac:dyDescent="0.3">
      <c r="A708" s="118"/>
      <c r="G708" s="118"/>
      <c r="H708" s="118"/>
      <c r="I708" s="118"/>
      <c r="J708" s="118"/>
      <c r="K708" s="118"/>
      <c r="L708" s="118"/>
      <c r="M708" s="118"/>
    </row>
    <row r="709" spans="1:13" ht="12" customHeight="1" x14ac:dyDescent="0.3">
      <c r="A709" s="118"/>
      <c r="G709" s="118"/>
      <c r="H709" s="118"/>
      <c r="I709" s="118"/>
      <c r="J709" s="118"/>
      <c r="K709" s="118"/>
      <c r="L709" s="118"/>
      <c r="M709" s="118"/>
    </row>
    <row r="710" spans="1:13" ht="12" customHeight="1" x14ac:dyDescent="0.3">
      <c r="A710" s="118"/>
      <c r="G710" s="118"/>
      <c r="H710" s="118"/>
      <c r="I710" s="118"/>
      <c r="J710" s="118"/>
      <c r="K710" s="118"/>
      <c r="L710" s="118"/>
      <c r="M710" s="118"/>
    </row>
    <row r="711" spans="1:13" ht="12" customHeight="1" x14ac:dyDescent="0.3">
      <c r="A711" s="118"/>
      <c r="G711" s="118"/>
      <c r="H711" s="118"/>
      <c r="I711" s="118"/>
      <c r="J711" s="118"/>
      <c r="K711" s="118"/>
      <c r="L711" s="118"/>
      <c r="M711" s="118"/>
    </row>
    <row r="712" spans="1:13" ht="12" customHeight="1" x14ac:dyDescent="0.3">
      <c r="A712" s="118"/>
      <c r="G712" s="118"/>
      <c r="H712" s="118"/>
      <c r="I712" s="118"/>
      <c r="J712" s="118"/>
      <c r="K712" s="118"/>
      <c r="L712" s="118"/>
      <c r="M712" s="118"/>
    </row>
    <row r="713" spans="1:13" ht="12" customHeight="1" x14ac:dyDescent="0.3">
      <c r="A713" s="118"/>
      <c r="G713" s="118"/>
      <c r="H713" s="118"/>
      <c r="I713" s="118"/>
      <c r="J713" s="118"/>
      <c r="K713" s="118"/>
      <c r="L713" s="118"/>
      <c r="M713" s="118"/>
    </row>
    <row r="714" spans="1:13" ht="12" customHeight="1" x14ac:dyDescent="0.3">
      <c r="A714" s="118"/>
      <c r="G714" s="118"/>
      <c r="H714" s="118"/>
      <c r="I714" s="118"/>
      <c r="J714" s="118"/>
      <c r="K714" s="118"/>
      <c r="L714" s="118"/>
      <c r="M714" s="118"/>
    </row>
    <row r="715" spans="1:13" ht="12" customHeight="1" x14ac:dyDescent="0.3">
      <c r="A715" s="118"/>
      <c r="G715" s="118"/>
      <c r="H715" s="118"/>
      <c r="I715" s="118"/>
      <c r="J715" s="118"/>
      <c r="K715" s="118"/>
      <c r="L715" s="118"/>
      <c r="M715" s="118"/>
    </row>
    <row r="716" spans="1:13" ht="12" customHeight="1" x14ac:dyDescent="0.3">
      <c r="A716" s="118"/>
      <c r="G716" s="118"/>
      <c r="H716" s="118"/>
      <c r="I716" s="118"/>
      <c r="J716" s="118"/>
      <c r="K716" s="118"/>
      <c r="L716" s="118"/>
      <c r="M716" s="118"/>
    </row>
    <row r="717" spans="1:13" ht="12" customHeight="1" x14ac:dyDescent="0.3">
      <c r="A717" s="118"/>
      <c r="G717" s="118"/>
      <c r="H717" s="118"/>
      <c r="I717" s="118"/>
      <c r="J717" s="118"/>
      <c r="K717" s="118"/>
      <c r="L717" s="118"/>
      <c r="M717" s="118"/>
    </row>
    <row r="718" spans="1:13" ht="12" customHeight="1" x14ac:dyDescent="0.3">
      <c r="A718" s="118"/>
      <c r="G718" s="118"/>
      <c r="H718" s="118"/>
      <c r="I718" s="118"/>
      <c r="J718" s="118"/>
      <c r="K718" s="118"/>
      <c r="L718" s="118"/>
      <c r="M718" s="118"/>
    </row>
    <row r="719" spans="1:13" ht="12" customHeight="1" x14ac:dyDescent="0.3">
      <c r="A719" s="118"/>
      <c r="G719" s="118"/>
      <c r="H719" s="118"/>
      <c r="I719" s="118"/>
      <c r="J719" s="118"/>
      <c r="K719" s="118"/>
      <c r="L719" s="118"/>
      <c r="M719" s="118"/>
    </row>
    <row r="720" spans="1:13" ht="12" customHeight="1" x14ac:dyDescent="0.3">
      <c r="A720" s="118"/>
      <c r="G720" s="118"/>
      <c r="H720" s="118"/>
      <c r="I720" s="118"/>
      <c r="J720" s="118"/>
      <c r="K720" s="118"/>
      <c r="L720" s="118"/>
      <c r="M720" s="118"/>
    </row>
    <row r="721" spans="1:13" ht="12" customHeight="1" x14ac:dyDescent="0.3">
      <c r="A721" s="118"/>
      <c r="G721" s="118"/>
      <c r="H721" s="118"/>
      <c r="I721" s="118"/>
      <c r="J721" s="118"/>
      <c r="K721" s="118"/>
      <c r="L721" s="118"/>
      <c r="M721" s="118"/>
    </row>
    <row r="722" spans="1:13" ht="12" customHeight="1" x14ac:dyDescent="0.3">
      <c r="A722" s="118"/>
      <c r="G722" s="118"/>
      <c r="H722" s="118"/>
      <c r="I722" s="118"/>
      <c r="J722" s="118"/>
      <c r="K722" s="118"/>
      <c r="L722" s="118"/>
      <c r="M722" s="118"/>
    </row>
    <row r="723" spans="1:13" ht="12" customHeight="1" x14ac:dyDescent="0.3">
      <c r="A723" s="118"/>
      <c r="G723" s="118"/>
      <c r="H723" s="118"/>
      <c r="I723" s="118"/>
      <c r="J723" s="118"/>
      <c r="K723" s="118"/>
      <c r="L723" s="118"/>
      <c r="M723" s="118"/>
    </row>
    <row r="724" spans="1:13" ht="12" customHeight="1" x14ac:dyDescent="0.3">
      <c r="A724" s="118"/>
      <c r="G724" s="118"/>
      <c r="H724" s="118"/>
      <c r="I724" s="118"/>
      <c r="J724" s="118"/>
      <c r="K724" s="118"/>
      <c r="L724" s="118"/>
      <c r="M724" s="118"/>
    </row>
    <row r="725" spans="1:13" ht="12" customHeight="1" x14ac:dyDescent="0.3">
      <c r="A725" s="118"/>
      <c r="G725" s="118"/>
      <c r="H725" s="118"/>
      <c r="I725" s="118"/>
      <c r="J725" s="118"/>
      <c r="K725" s="118"/>
      <c r="L725" s="118"/>
      <c r="M725" s="118"/>
    </row>
    <row r="726" spans="1:13" ht="12" customHeight="1" x14ac:dyDescent="0.3">
      <c r="A726" s="118"/>
      <c r="G726" s="118"/>
      <c r="H726" s="118"/>
      <c r="I726" s="118"/>
      <c r="J726" s="118"/>
      <c r="K726" s="118"/>
      <c r="L726" s="118"/>
      <c r="M726" s="118"/>
    </row>
    <row r="727" spans="1:13" ht="12" customHeight="1" x14ac:dyDescent="0.3">
      <c r="A727" s="118"/>
      <c r="G727" s="118"/>
      <c r="H727" s="118"/>
      <c r="I727" s="118"/>
      <c r="J727" s="118"/>
      <c r="K727" s="118"/>
      <c r="L727" s="118"/>
      <c r="M727" s="118"/>
    </row>
    <row r="728" spans="1:13" ht="12" customHeight="1" x14ac:dyDescent="0.3">
      <c r="A728" s="118"/>
      <c r="G728" s="118"/>
      <c r="H728" s="118"/>
      <c r="I728" s="118"/>
      <c r="J728" s="118"/>
      <c r="K728" s="118"/>
      <c r="L728" s="118"/>
      <c r="M728" s="118"/>
    </row>
    <row r="729" spans="1:13" ht="12" customHeight="1" x14ac:dyDescent="0.3">
      <c r="A729" s="118"/>
      <c r="G729" s="118"/>
      <c r="H729" s="118"/>
      <c r="I729" s="118"/>
      <c r="J729" s="118"/>
      <c r="K729" s="118"/>
      <c r="L729" s="118"/>
      <c r="M729" s="118"/>
    </row>
    <row r="730" spans="1:13" ht="12" customHeight="1" x14ac:dyDescent="0.3">
      <c r="A730" s="118"/>
      <c r="G730" s="118"/>
      <c r="H730" s="118"/>
      <c r="I730" s="118"/>
      <c r="J730" s="118"/>
      <c r="K730" s="118"/>
      <c r="L730" s="118"/>
      <c r="M730" s="118"/>
    </row>
    <row r="731" spans="1:13" ht="12" customHeight="1" x14ac:dyDescent="0.3">
      <c r="A731" s="118"/>
      <c r="G731" s="118"/>
      <c r="H731" s="118"/>
      <c r="I731" s="118"/>
      <c r="J731" s="118"/>
      <c r="K731" s="118"/>
      <c r="L731" s="118"/>
      <c r="M731" s="118"/>
    </row>
    <row r="732" spans="1:13" ht="12" customHeight="1" x14ac:dyDescent="0.3">
      <c r="A732" s="118"/>
      <c r="G732" s="118"/>
      <c r="H732" s="118"/>
      <c r="I732" s="118"/>
      <c r="J732" s="118"/>
      <c r="K732" s="118"/>
      <c r="L732" s="118"/>
      <c r="M732" s="118"/>
    </row>
    <row r="733" spans="1:13" ht="12" customHeight="1" x14ac:dyDescent="0.3">
      <c r="A733" s="118"/>
      <c r="G733" s="118"/>
      <c r="H733" s="118"/>
      <c r="I733" s="118"/>
      <c r="J733" s="118"/>
      <c r="K733" s="118"/>
      <c r="L733" s="118"/>
      <c r="M733" s="118"/>
    </row>
    <row r="734" spans="1:13" ht="12" customHeight="1" x14ac:dyDescent="0.3">
      <c r="A734" s="118"/>
      <c r="G734" s="118"/>
      <c r="H734" s="118"/>
      <c r="I734" s="118"/>
      <c r="J734" s="118"/>
      <c r="K734" s="118"/>
      <c r="L734" s="118"/>
      <c r="M734" s="118"/>
    </row>
    <row r="735" spans="1:13" ht="12" customHeight="1" x14ac:dyDescent="0.3">
      <c r="A735" s="118"/>
      <c r="G735" s="118"/>
      <c r="H735" s="118"/>
      <c r="I735" s="118"/>
      <c r="J735" s="118"/>
      <c r="K735" s="118"/>
      <c r="L735" s="118"/>
      <c r="M735" s="118"/>
    </row>
    <row r="736" spans="1:13" ht="12" customHeight="1" x14ac:dyDescent="0.3">
      <c r="A736" s="118"/>
      <c r="G736" s="118"/>
      <c r="H736" s="118"/>
      <c r="I736" s="118"/>
      <c r="J736" s="118"/>
      <c r="K736" s="118"/>
      <c r="L736" s="118"/>
      <c r="M736" s="118"/>
    </row>
    <row r="737" spans="1:13" ht="12" customHeight="1" x14ac:dyDescent="0.3">
      <c r="A737" s="118"/>
      <c r="G737" s="118"/>
      <c r="H737" s="118"/>
      <c r="I737" s="118"/>
      <c r="J737" s="118"/>
      <c r="K737" s="118"/>
      <c r="L737" s="118"/>
      <c r="M737" s="118"/>
    </row>
    <row r="738" spans="1:13" ht="12" customHeight="1" x14ac:dyDescent="0.3">
      <c r="A738" s="118"/>
      <c r="G738" s="118"/>
      <c r="H738" s="118"/>
      <c r="I738" s="118"/>
      <c r="J738" s="118"/>
      <c r="K738" s="118"/>
      <c r="L738" s="118"/>
      <c r="M738" s="118"/>
    </row>
    <row r="739" spans="1:13" ht="12" customHeight="1" x14ac:dyDescent="0.3">
      <c r="A739" s="118"/>
      <c r="G739" s="118"/>
      <c r="H739" s="118"/>
      <c r="I739" s="118"/>
      <c r="J739" s="118"/>
      <c r="K739" s="118"/>
      <c r="L739" s="118"/>
      <c r="M739" s="118"/>
    </row>
    <row r="740" spans="1:13" ht="12" customHeight="1" x14ac:dyDescent="0.3">
      <c r="A740" s="118"/>
      <c r="G740" s="118"/>
      <c r="H740" s="118"/>
      <c r="I740" s="118"/>
      <c r="J740" s="118"/>
      <c r="K740" s="118"/>
      <c r="L740" s="118"/>
      <c r="M740" s="118"/>
    </row>
    <row r="741" spans="1:13" ht="12" customHeight="1" x14ac:dyDescent="0.3">
      <c r="A741" s="118"/>
      <c r="G741" s="118"/>
      <c r="H741" s="118"/>
      <c r="I741" s="118"/>
      <c r="J741" s="118"/>
      <c r="K741" s="118"/>
      <c r="L741" s="118"/>
      <c r="M741" s="118"/>
    </row>
    <row r="742" spans="1:13" ht="12" customHeight="1" x14ac:dyDescent="0.3">
      <c r="A742" s="118"/>
      <c r="G742" s="118"/>
      <c r="H742" s="118"/>
      <c r="I742" s="118"/>
      <c r="J742" s="118"/>
      <c r="K742" s="118"/>
      <c r="L742" s="118"/>
      <c r="M742" s="118"/>
    </row>
    <row r="743" spans="1:13" ht="12" customHeight="1" x14ac:dyDescent="0.3">
      <c r="A743" s="118"/>
      <c r="G743" s="118"/>
      <c r="H743" s="118"/>
      <c r="I743" s="118"/>
      <c r="J743" s="118"/>
      <c r="K743" s="118"/>
      <c r="L743" s="118"/>
      <c r="M743" s="118"/>
    </row>
    <row r="744" spans="1:13" ht="12" customHeight="1" x14ac:dyDescent="0.3">
      <c r="A744" s="118"/>
      <c r="G744" s="118"/>
      <c r="H744" s="118"/>
      <c r="I744" s="118"/>
      <c r="J744" s="118"/>
      <c r="K744" s="118"/>
      <c r="L744" s="118"/>
      <c r="M744" s="118"/>
    </row>
    <row r="745" spans="1:13" ht="12" customHeight="1" x14ac:dyDescent="0.3">
      <c r="A745" s="118"/>
      <c r="G745" s="118"/>
      <c r="H745" s="118"/>
      <c r="I745" s="118"/>
      <c r="J745" s="118"/>
      <c r="K745" s="118"/>
      <c r="L745" s="118"/>
      <c r="M745" s="118"/>
    </row>
    <row r="746" spans="1:13" ht="12" customHeight="1" x14ac:dyDescent="0.3">
      <c r="A746" s="118"/>
      <c r="G746" s="118"/>
      <c r="H746" s="118"/>
      <c r="I746" s="118"/>
      <c r="J746" s="118"/>
      <c r="K746" s="118"/>
      <c r="L746" s="118"/>
      <c r="M746" s="118"/>
    </row>
    <row r="747" spans="1:13" ht="12" customHeight="1" x14ac:dyDescent="0.3">
      <c r="A747" s="118"/>
      <c r="G747" s="118"/>
      <c r="H747" s="118"/>
      <c r="I747" s="118"/>
      <c r="J747" s="118"/>
      <c r="K747" s="118"/>
      <c r="L747" s="118"/>
      <c r="M747" s="118"/>
    </row>
    <row r="748" spans="1:13" ht="12" customHeight="1" x14ac:dyDescent="0.3">
      <c r="A748" s="118"/>
      <c r="G748" s="118"/>
      <c r="H748" s="118"/>
      <c r="I748" s="118"/>
      <c r="J748" s="118"/>
      <c r="K748" s="118"/>
      <c r="L748" s="118"/>
      <c r="M748" s="118"/>
    </row>
    <row r="749" spans="1:13" ht="12" customHeight="1" x14ac:dyDescent="0.3">
      <c r="A749" s="118"/>
      <c r="G749" s="118"/>
      <c r="H749" s="118"/>
      <c r="I749" s="118"/>
      <c r="J749" s="118"/>
      <c r="K749" s="118"/>
      <c r="L749" s="118"/>
      <c r="M749" s="118"/>
    </row>
    <row r="750" spans="1:13" ht="12" customHeight="1" x14ac:dyDescent="0.3">
      <c r="A750" s="118"/>
      <c r="G750" s="118"/>
      <c r="H750" s="118"/>
      <c r="I750" s="118"/>
      <c r="J750" s="118"/>
      <c r="K750" s="118"/>
      <c r="L750" s="118"/>
      <c r="M750" s="118"/>
    </row>
    <row r="751" spans="1:13" ht="12" customHeight="1" x14ac:dyDescent="0.3">
      <c r="A751" s="118"/>
      <c r="G751" s="118"/>
      <c r="H751" s="118"/>
      <c r="I751" s="118"/>
      <c r="J751" s="118"/>
      <c r="K751" s="118"/>
      <c r="L751" s="118"/>
      <c r="M751" s="118"/>
    </row>
    <row r="752" spans="1:13" ht="12" customHeight="1" x14ac:dyDescent="0.3">
      <c r="A752" s="118"/>
      <c r="G752" s="118"/>
      <c r="H752" s="118"/>
      <c r="I752" s="118"/>
      <c r="J752" s="118"/>
      <c r="K752" s="118"/>
      <c r="L752" s="118"/>
      <c r="M752" s="118"/>
    </row>
    <row r="753" spans="1:13" ht="12" customHeight="1" x14ac:dyDescent="0.3">
      <c r="A753" s="118"/>
      <c r="G753" s="118"/>
      <c r="H753" s="118"/>
      <c r="I753" s="118"/>
      <c r="J753" s="118"/>
      <c r="K753" s="118"/>
      <c r="L753" s="118"/>
      <c r="M753" s="118"/>
    </row>
    <row r="754" spans="1:13" ht="12" customHeight="1" x14ac:dyDescent="0.3">
      <c r="A754" s="118"/>
      <c r="G754" s="118"/>
      <c r="H754" s="118"/>
      <c r="I754" s="118"/>
      <c r="J754" s="118"/>
      <c r="K754" s="118"/>
      <c r="L754" s="118"/>
      <c r="M754" s="118"/>
    </row>
    <row r="755" spans="1:13" ht="12" customHeight="1" x14ac:dyDescent="0.3">
      <c r="A755" s="118"/>
      <c r="G755" s="118"/>
      <c r="H755" s="118"/>
      <c r="I755" s="118"/>
      <c r="J755" s="118"/>
      <c r="K755" s="118"/>
      <c r="L755" s="118"/>
      <c r="M755" s="118"/>
    </row>
    <row r="756" spans="1:13" ht="12" customHeight="1" x14ac:dyDescent="0.3">
      <c r="A756" s="118"/>
      <c r="G756" s="118"/>
      <c r="H756" s="118"/>
      <c r="I756" s="118"/>
      <c r="J756" s="118"/>
      <c r="K756" s="118"/>
      <c r="L756" s="118"/>
      <c r="M756" s="118"/>
    </row>
    <row r="757" spans="1:13" ht="12" customHeight="1" x14ac:dyDescent="0.3">
      <c r="A757" s="118"/>
      <c r="G757" s="118"/>
      <c r="H757" s="118"/>
      <c r="I757" s="118"/>
      <c r="J757" s="118"/>
      <c r="K757" s="118"/>
      <c r="L757" s="118"/>
      <c r="M757" s="118"/>
    </row>
    <row r="758" spans="1:13" ht="12" customHeight="1" x14ac:dyDescent="0.3">
      <c r="A758" s="118"/>
      <c r="G758" s="118"/>
      <c r="H758" s="118"/>
      <c r="I758" s="118"/>
      <c r="J758" s="118"/>
      <c r="K758" s="118"/>
      <c r="L758" s="118"/>
      <c r="M758" s="118"/>
    </row>
    <row r="759" spans="1:13" ht="12" customHeight="1" x14ac:dyDescent="0.3">
      <c r="A759" s="118"/>
      <c r="G759" s="118"/>
      <c r="H759" s="118"/>
      <c r="I759" s="118"/>
      <c r="J759" s="118"/>
      <c r="K759" s="118"/>
      <c r="L759" s="118"/>
      <c r="M759" s="118"/>
    </row>
    <row r="760" spans="1:13" ht="12" customHeight="1" x14ac:dyDescent="0.3">
      <c r="A760" s="118"/>
      <c r="G760" s="118"/>
      <c r="H760" s="118"/>
      <c r="I760" s="118"/>
      <c r="J760" s="118"/>
      <c r="K760" s="118"/>
      <c r="L760" s="118"/>
      <c r="M760" s="118"/>
    </row>
    <row r="761" spans="1:13" ht="12" customHeight="1" x14ac:dyDescent="0.3">
      <c r="A761" s="118"/>
      <c r="G761" s="118"/>
      <c r="H761" s="118"/>
      <c r="I761" s="118"/>
      <c r="J761" s="118"/>
      <c r="K761" s="118"/>
      <c r="L761" s="118"/>
      <c r="M761" s="118"/>
    </row>
    <row r="762" spans="1:13" ht="12" customHeight="1" x14ac:dyDescent="0.3">
      <c r="A762" s="118"/>
      <c r="G762" s="118"/>
      <c r="H762" s="118"/>
      <c r="I762" s="118"/>
      <c r="J762" s="118"/>
      <c r="K762" s="118"/>
      <c r="L762" s="118"/>
      <c r="M762" s="118"/>
    </row>
    <row r="763" spans="1:13" ht="12" customHeight="1" x14ac:dyDescent="0.3">
      <c r="A763" s="118"/>
      <c r="G763" s="118"/>
      <c r="H763" s="118"/>
      <c r="I763" s="118"/>
      <c r="J763" s="118"/>
      <c r="K763" s="118"/>
      <c r="L763" s="118"/>
      <c r="M763" s="118"/>
    </row>
    <row r="764" spans="1:13" ht="12" customHeight="1" x14ac:dyDescent="0.3">
      <c r="A764" s="118"/>
      <c r="G764" s="118"/>
      <c r="H764" s="118"/>
      <c r="I764" s="118"/>
      <c r="J764" s="118"/>
      <c r="K764" s="118"/>
      <c r="L764" s="118"/>
      <c r="M764" s="118"/>
    </row>
    <row r="765" spans="1:13" ht="12" customHeight="1" x14ac:dyDescent="0.3">
      <c r="A765" s="118"/>
      <c r="G765" s="118"/>
      <c r="H765" s="118"/>
      <c r="I765" s="118"/>
      <c r="J765" s="118"/>
      <c r="K765" s="118"/>
      <c r="L765" s="118"/>
      <c r="M765" s="118"/>
    </row>
    <row r="766" spans="1:13" ht="12" customHeight="1" x14ac:dyDescent="0.3">
      <c r="A766" s="118"/>
      <c r="G766" s="118"/>
      <c r="H766" s="118"/>
      <c r="I766" s="118"/>
      <c r="J766" s="118"/>
      <c r="K766" s="118"/>
      <c r="L766" s="118"/>
      <c r="M766" s="118"/>
    </row>
    <row r="767" spans="1:13" ht="12" customHeight="1" x14ac:dyDescent="0.3">
      <c r="A767" s="118"/>
      <c r="G767" s="118"/>
      <c r="H767" s="118"/>
      <c r="I767" s="118"/>
      <c r="J767" s="118"/>
      <c r="K767" s="118"/>
      <c r="L767" s="118"/>
      <c r="M767" s="118"/>
    </row>
    <row r="768" spans="1:13" ht="12" customHeight="1" x14ac:dyDescent="0.3">
      <c r="A768" s="118"/>
      <c r="G768" s="118"/>
      <c r="H768" s="118"/>
      <c r="I768" s="118"/>
      <c r="J768" s="118"/>
      <c r="K768" s="118"/>
      <c r="L768" s="118"/>
      <c r="M768" s="118"/>
    </row>
    <row r="769" spans="1:13" ht="12" customHeight="1" x14ac:dyDescent="0.3">
      <c r="A769" s="118"/>
      <c r="G769" s="118"/>
      <c r="H769" s="118"/>
      <c r="I769" s="118"/>
      <c r="J769" s="118"/>
      <c r="K769" s="118"/>
      <c r="L769" s="118"/>
      <c r="M769" s="118"/>
    </row>
    <row r="770" spans="1:13" ht="12" customHeight="1" x14ac:dyDescent="0.3">
      <c r="A770" s="118"/>
      <c r="G770" s="118"/>
      <c r="H770" s="118"/>
      <c r="I770" s="118"/>
      <c r="J770" s="118"/>
      <c r="K770" s="118"/>
      <c r="L770" s="118"/>
      <c r="M770" s="118"/>
    </row>
    <row r="771" spans="1:13" ht="12" customHeight="1" x14ac:dyDescent="0.3">
      <c r="A771" s="118"/>
      <c r="G771" s="118"/>
      <c r="H771" s="118"/>
      <c r="I771" s="118"/>
      <c r="J771" s="118"/>
      <c r="K771" s="118"/>
      <c r="L771" s="118"/>
      <c r="M771" s="118"/>
    </row>
    <row r="772" spans="1:13" ht="12" customHeight="1" x14ac:dyDescent="0.3">
      <c r="A772" s="118"/>
      <c r="G772" s="118"/>
      <c r="H772" s="118"/>
      <c r="I772" s="118"/>
      <c r="J772" s="118"/>
      <c r="K772" s="118"/>
      <c r="L772" s="118"/>
      <c r="M772" s="118"/>
    </row>
    <row r="773" spans="1:13" ht="12" customHeight="1" x14ac:dyDescent="0.3">
      <c r="A773" s="118"/>
      <c r="G773" s="118"/>
      <c r="H773" s="118"/>
      <c r="I773" s="118"/>
      <c r="J773" s="118"/>
      <c r="K773" s="118"/>
      <c r="L773" s="118"/>
      <c r="M773" s="118"/>
    </row>
    <row r="774" spans="1:13" ht="12" customHeight="1" x14ac:dyDescent="0.3">
      <c r="A774" s="118"/>
      <c r="G774" s="118"/>
      <c r="H774" s="118"/>
      <c r="I774" s="118"/>
      <c r="J774" s="118"/>
      <c r="K774" s="118"/>
      <c r="L774" s="118"/>
      <c r="M774" s="118"/>
    </row>
    <row r="775" spans="1:13" ht="12" customHeight="1" x14ac:dyDescent="0.3">
      <c r="A775" s="118"/>
      <c r="G775" s="118"/>
      <c r="H775" s="118"/>
      <c r="I775" s="118"/>
      <c r="J775" s="118"/>
      <c r="K775" s="118"/>
      <c r="L775" s="118"/>
      <c r="M775" s="118"/>
    </row>
    <row r="776" spans="1:13" ht="12" customHeight="1" x14ac:dyDescent="0.3">
      <c r="A776" s="118"/>
      <c r="G776" s="118"/>
      <c r="H776" s="118"/>
      <c r="I776" s="118"/>
      <c r="J776" s="118"/>
      <c r="K776" s="118"/>
      <c r="L776" s="118"/>
      <c r="M776" s="118"/>
    </row>
    <row r="777" spans="1:13" ht="12" customHeight="1" x14ac:dyDescent="0.3">
      <c r="A777" s="118"/>
      <c r="G777" s="118"/>
      <c r="H777" s="118"/>
      <c r="I777" s="118"/>
      <c r="J777" s="118"/>
      <c r="K777" s="118"/>
      <c r="L777" s="118"/>
      <c r="M777" s="118"/>
    </row>
    <row r="778" spans="1:13" ht="12" customHeight="1" x14ac:dyDescent="0.3">
      <c r="A778" s="118"/>
      <c r="G778" s="118"/>
      <c r="H778" s="118"/>
      <c r="I778" s="118"/>
      <c r="J778" s="118"/>
      <c r="K778" s="118"/>
      <c r="L778" s="118"/>
      <c r="M778" s="118"/>
    </row>
    <row r="779" spans="1:13" ht="12" customHeight="1" x14ac:dyDescent="0.3">
      <c r="A779" s="118"/>
      <c r="G779" s="118"/>
      <c r="H779" s="118"/>
      <c r="I779" s="118"/>
      <c r="J779" s="118"/>
      <c r="K779" s="118"/>
      <c r="L779" s="118"/>
      <c r="M779" s="118"/>
    </row>
    <row r="780" spans="1:13" ht="12" customHeight="1" x14ac:dyDescent="0.3">
      <c r="A780" s="118"/>
      <c r="G780" s="118"/>
      <c r="H780" s="118"/>
      <c r="I780" s="118"/>
      <c r="J780" s="118"/>
      <c r="K780" s="118"/>
      <c r="L780" s="118"/>
      <c r="M780" s="118"/>
    </row>
    <row r="781" spans="1:13" ht="12" customHeight="1" x14ac:dyDescent="0.3">
      <c r="A781" s="118"/>
      <c r="G781" s="118"/>
      <c r="H781" s="118"/>
      <c r="I781" s="118"/>
      <c r="J781" s="118"/>
      <c r="K781" s="118"/>
      <c r="L781" s="118"/>
      <c r="M781" s="118"/>
    </row>
    <row r="782" spans="1:13" ht="12" customHeight="1" x14ac:dyDescent="0.3">
      <c r="A782" s="118"/>
      <c r="G782" s="118"/>
      <c r="H782" s="118"/>
      <c r="I782" s="118"/>
      <c r="J782" s="118"/>
      <c r="K782" s="118"/>
      <c r="L782" s="118"/>
      <c r="M782" s="118"/>
    </row>
    <row r="783" spans="1:13" ht="12" customHeight="1" x14ac:dyDescent="0.3">
      <c r="A783" s="118"/>
      <c r="G783" s="118"/>
      <c r="H783" s="118"/>
      <c r="I783" s="118"/>
      <c r="J783" s="118"/>
      <c r="K783" s="118"/>
      <c r="L783" s="118"/>
      <c r="M783" s="118"/>
    </row>
    <row r="784" spans="1:13" ht="12" customHeight="1" x14ac:dyDescent="0.3">
      <c r="A784" s="118"/>
      <c r="G784" s="118"/>
      <c r="H784" s="118"/>
      <c r="I784" s="118"/>
      <c r="J784" s="118"/>
      <c r="K784" s="118"/>
      <c r="L784" s="118"/>
      <c r="M784" s="118"/>
    </row>
    <row r="785" spans="1:13" ht="12" customHeight="1" x14ac:dyDescent="0.3">
      <c r="A785" s="118"/>
      <c r="G785" s="118"/>
      <c r="H785" s="118"/>
      <c r="I785" s="118"/>
      <c r="J785" s="118"/>
      <c r="K785" s="118"/>
      <c r="L785" s="118"/>
      <c r="M785" s="118"/>
    </row>
    <row r="786" spans="1:13" ht="12" customHeight="1" x14ac:dyDescent="0.3">
      <c r="A786" s="118"/>
      <c r="G786" s="118"/>
      <c r="H786" s="118"/>
      <c r="I786" s="118"/>
      <c r="J786" s="118"/>
      <c r="K786" s="118"/>
      <c r="L786" s="118"/>
      <c r="M786" s="118"/>
    </row>
    <row r="787" spans="1:13" ht="12" customHeight="1" x14ac:dyDescent="0.3">
      <c r="A787" s="118"/>
      <c r="G787" s="118"/>
      <c r="H787" s="118"/>
      <c r="I787" s="118"/>
      <c r="J787" s="118"/>
      <c r="K787" s="118"/>
      <c r="L787" s="118"/>
      <c r="M787" s="118"/>
    </row>
    <row r="788" spans="1:13" ht="12" customHeight="1" x14ac:dyDescent="0.3">
      <c r="A788" s="118"/>
      <c r="G788" s="118"/>
      <c r="H788" s="118"/>
      <c r="I788" s="118"/>
      <c r="J788" s="118"/>
      <c r="K788" s="118"/>
      <c r="L788" s="118"/>
      <c r="M788" s="118"/>
    </row>
    <row r="789" spans="1:13" ht="12" customHeight="1" x14ac:dyDescent="0.3">
      <c r="A789" s="118"/>
      <c r="G789" s="118"/>
      <c r="H789" s="118"/>
      <c r="I789" s="118"/>
      <c r="J789" s="118"/>
      <c r="K789" s="118"/>
      <c r="L789" s="118"/>
      <c r="M789" s="118"/>
    </row>
    <row r="790" spans="1:13" ht="12" customHeight="1" x14ac:dyDescent="0.3">
      <c r="A790" s="118"/>
      <c r="G790" s="118"/>
      <c r="H790" s="118"/>
      <c r="I790" s="118"/>
      <c r="J790" s="118"/>
      <c r="K790" s="118"/>
      <c r="L790" s="118"/>
      <c r="M790" s="118"/>
    </row>
    <row r="791" spans="1:13" ht="12" customHeight="1" x14ac:dyDescent="0.3">
      <c r="A791" s="118"/>
      <c r="G791" s="118"/>
      <c r="H791" s="118"/>
      <c r="I791" s="118"/>
      <c r="J791" s="118"/>
      <c r="K791" s="118"/>
      <c r="L791" s="118"/>
      <c r="M791" s="118"/>
    </row>
    <row r="792" spans="1:13" ht="12" customHeight="1" x14ac:dyDescent="0.3">
      <c r="A792" s="118"/>
      <c r="G792" s="118"/>
      <c r="H792" s="118"/>
      <c r="I792" s="118"/>
      <c r="J792" s="118"/>
      <c r="K792" s="118"/>
      <c r="L792" s="118"/>
      <c r="M792" s="118"/>
    </row>
    <row r="793" spans="1:13" ht="12" customHeight="1" x14ac:dyDescent="0.3">
      <c r="A793" s="118"/>
      <c r="G793" s="118"/>
      <c r="H793" s="118"/>
      <c r="I793" s="118"/>
      <c r="J793" s="118"/>
      <c r="K793" s="118"/>
      <c r="L793" s="118"/>
      <c r="M793" s="118"/>
    </row>
    <row r="794" spans="1:13" ht="12" customHeight="1" x14ac:dyDescent="0.3">
      <c r="A794" s="118"/>
      <c r="G794" s="118"/>
      <c r="H794" s="118"/>
      <c r="I794" s="118"/>
      <c r="J794" s="118"/>
      <c r="K794" s="118"/>
      <c r="L794" s="118"/>
      <c r="M794" s="118"/>
    </row>
    <row r="795" spans="1:13" ht="12" customHeight="1" x14ac:dyDescent="0.3">
      <c r="A795" s="118"/>
      <c r="G795" s="118"/>
      <c r="H795" s="118"/>
      <c r="I795" s="118"/>
      <c r="J795" s="118"/>
      <c r="K795" s="118"/>
      <c r="L795" s="118"/>
      <c r="M795" s="118"/>
    </row>
    <row r="796" spans="1:13" ht="12" customHeight="1" x14ac:dyDescent="0.3">
      <c r="A796" s="118"/>
      <c r="G796" s="118"/>
      <c r="H796" s="118"/>
      <c r="I796" s="118"/>
      <c r="J796" s="118"/>
      <c r="K796" s="118"/>
      <c r="L796" s="118"/>
      <c r="M796" s="118"/>
    </row>
    <row r="797" spans="1:13" ht="12" customHeight="1" x14ac:dyDescent="0.3">
      <c r="A797" s="118"/>
      <c r="G797" s="118"/>
      <c r="H797" s="118"/>
      <c r="I797" s="118"/>
      <c r="J797" s="118"/>
      <c r="K797" s="118"/>
      <c r="L797" s="118"/>
      <c r="M797" s="118"/>
    </row>
    <row r="798" spans="1:13" ht="12" customHeight="1" x14ac:dyDescent="0.3">
      <c r="A798" s="118"/>
      <c r="G798" s="118"/>
      <c r="H798" s="118"/>
      <c r="I798" s="118"/>
      <c r="J798" s="118"/>
      <c r="K798" s="118"/>
      <c r="L798" s="118"/>
      <c r="M798" s="118"/>
    </row>
    <row r="799" spans="1:13" ht="12" customHeight="1" x14ac:dyDescent="0.3">
      <c r="A799" s="118"/>
      <c r="G799" s="118"/>
      <c r="H799" s="118"/>
      <c r="I799" s="118"/>
      <c r="J799" s="118"/>
      <c r="K799" s="118"/>
      <c r="L799" s="118"/>
      <c r="M799" s="118"/>
    </row>
    <row r="800" spans="1:13" ht="12" customHeight="1" x14ac:dyDescent="0.3">
      <c r="A800" s="118"/>
      <c r="G800" s="118"/>
      <c r="H800" s="118"/>
      <c r="I800" s="118"/>
      <c r="J800" s="118"/>
      <c r="K800" s="118"/>
      <c r="L800" s="118"/>
      <c r="M800" s="118"/>
    </row>
    <row r="801" spans="1:13" ht="12" customHeight="1" x14ac:dyDescent="0.3">
      <c r="A801" s="118"/>
      <c r="G801" s="118"/>
      <c r="H801" s="118"/>
      <c r="I801" s="118"/>
      <c r="J801" s="118"/>
      <c r="K801" s="118"/>
      <c r="L801" s="118"/>
      <c r="M801" s="118"/>
    </row>
    <row r="802" spans="1:13" ht="12" customHeight="1" x14ac:dyDescent="0.3">
      <c r="A802" s="118"/>
      <c r="G802" s="118"/>
      <c r="H802" s="118"/>
      <c r="I802" s="118"/>
      <c r="J802" s="118"/>
      <c r="K802" s="118"/>
      <c r="L802" s="118"/>
      <c r="M802" s="118"/>
    </row>
    <row r="803" spans="1:13" ht="12" customHeight="1" x14ac:dyDescent="0.3">
      <c r="A803" s="118"/>
      <c r="G803" s="118"/>
      <c r="H803" s="118"/>
      <c r="I803" s="118"/>
      <c r="J803" s="118"/>
      <c r="K803" s="118"/>
      <c r="L803" s="118"/>
      <c r="M803" s="118"/>
    </row>
    <row r="804" spans="1:13" ht="12" customHeight="1" x14ac:dyDescent="0.3">
      <c r="A804" s="118"/>
      <c r="G804" s="118"/>
      <c r="H804" s="118"/>
      <c r="I804" s="118"/>
      <c r="J804" s="118"/>
      <c r="K804" s="118"/>
      <c r="L804" s="118"/>
      <c r="M804" s="118"/>
    </row>
    <row r="805" spans="1:13" ht="12" customHeight="1" x14ac:dyDescent="0.3">
      <c r="A805" s="118"/>
      <c r="G805" s="118"/>
      <c r="H805" s="118"/>
      <c r="I805" s="118"/>
      <c r="J805" s="118"/>
      <c r="K805" s="118"/>
      <c r="L805" s="118"/>
      <c r="M805" s="118"/>
    </row>
    <row r="806" spans="1:13" ht="12" customHeight="1" x14ac:dyDescent="0.3">
      <c r="A806" s="118"/>
      <c r="G806" s="118"/>
      <c r="H806" s="118"/>
      <c r="I806" s="118"/>
      <c r="J806" s="118"/>
      <c r="K806" s="118"/>
      <c r="L806" s="118"/>
      <c r="M806" s="118"/>
    </row>
    <row r="807" spans="1:13" ht="12" customHeight="1" x14ac:dyDescent="0.3">
      <c r="A807" s="118"/>
      <c r="G807" s="118"/>
      <c r="H807" s="118"/>
      <c r="I807" s="118"/>
      <c r="J807" s="118"/>
      <c r="K807" s="118"/>
      <c r="L807" s="118"/>
      <c r="M807" s="118"/>
    </row>
    <row r="808" spans="1:13" ht="12" customHeight="1" x14ac:dyDescent="0.3">
      <c r="A808" s="118"/>
      <c r="G808" s="118"/>
      <c r="H808" s="118"/>
      <c r="I808" s="118"/>
      <c r="J808" s="118"/>
      <c r="K808" s="118"/>
      <c r="L808" s="118"/>
      <c r="M808" s="118"/>
    </row>
    <row r="809" spans="1:13" ht="12" customHeight="1" x14ac:dyDescent="0.3">
      <c r="A809" s="118"/>
      <c r="G809" s="118"/>
      <c r="H809" s="118"/>
      <c r="I809" s="118"/>
      <c r="J809" s="118"/>
      <c r="K809" s="118"/>
      <c r="L809" s="118"/>
      <c r="M809" s="118"/>
    </row>
    <row r="810" spans="1:13" ht="12" customHeight="1" x14ac:dyDescent="0.3">
      <c r="A810" s="118"/>
      <c r="G810" s="118"/>
      <c r="H810" s="118"/>
      <c r="I810" s="118"/>
      <c r="J810" s="118"/>
      <c r="K810" s="118"/>
      <c r="L810" s="118"/>
      <c r="M810" s="118"/>
    </row>
    <row r="811" spans="1:13" ht="12" customHeight="1" x14ac:dyDescent="0.3">
      <c r="A811" s="118"/>
      <c r="G811" s="118"/>
      <c r="H811" s="118"/>
      <c r="I811" s="118"/>
      <c r="J811" s="118"/>
      <c r="K811" s="118"/>
      <c r="L811" s="118"/>
      <c r="M811" s="118"/>
    </row>
    <row r="812" spans="1:13" ht="12" customHeight="1" x14ac:dyDescent="0.3">
      <c r="A812" s="118"/>
      <c r="G812" s="118"/>
      <c r="H812" s="118"/>
      <c r="I812" s="118"/>
      <c r="J812" s="118"/>
      <c r="K812" s="118"/>
      <c r="L812" s="118"/>
      <c r="M812" s="118"/>
    </row>
    <row r="813" spans="1:13" ht="12" customHeight="1" x14ac:dyDescent="0.3">
      <c r="A813" s="118"/>
      <c r="G813" s="118"/>
      <c r="H813" s="118"/>
      <c r="I813" s="118"/>
      <c r="J813" s="118"/>
      <c r="K813" s="118"/>
      <c r="L813" s="118"/>
      <c r="M813" s="118"/>
    </row>
    <row r="814" spans="1:13" ht="12" customHeight="1" x14ac:dyDescent="0.3">
      <c r="A814" s="118"/>
      <c r="G814" s="118"/>
      <c r="H814" s="118"/>
      <c r="I814" s="118"/>
      <c r="J814" s="118"/>
      <c r="K814" s="118"/>
      <c r="L814" s="118"/>
      <c r="M814" s="118"/>
    </row>
    <row r="815" spans="1:13" ht="12" customHeight="1" x14ac:dyDescent="0.3">
      <c r="A815" s="118"/>
      <c r="G815" s="118"/>
      <c r="H815" s="118"/>
      <c r="I815" s="118"/>
      <c r="J815" s="118"/>
      <c r="K815" s="118"/>
      <c r="L815" s="118"/>
      <c r="M815" s="118"/>
    </row>
    <row r="816" spans="1:13" ht="12" customHeight="1" x14ac:dyDescent="0.3">
      <c r="A816" s="118"/>
      <c r="G816" s="118"/>
      <c r="H816" s="118"/>
      <c r="I816" s="118"/>
      <c r="J816" s="118"/>
      <c r="K816" s="118"/>
      <c r="L816" s="118"/>
      <c r="M816" s="118"/>
    </row>
    <row r="817" spans="1:13" ht="12" customHeight="1" x14ac:dyDescent="0.3">
      <c r="A817" s="118"/>
      <c r="G817" s="118"/>
      <c r="H817" s="118"/>
      <c r="I817" s="118"/>
      <c r="J817" s="118"/>
      <c r="K817" s="118"/>
      <c r="L817" s="118"/>
      <c r="M817" s="118"/>
    </row>
    <row r="818" spans="1:13" ht="12" customHeight="1" x14ac:dyDescent="0.3">
      <c r="A818" s="118"/>
      <c r="G818" s="118"/>
      <c r="H818" s="118"/>
      <c r="I818" s="118"/>
      <c r="J818" s="118"/>
      <c r="K818" s="118"/>
      <c r="L818" s="118"/>
      <c r="M818" s="118"/>
    </row>
    <row r="819" spans="1:13" ht="12" customHeight="1" x14ac:dyDescent="0.3">
      <c r="A819" s="118"/>
      <c r="G819" s="118"/>
      <c r="H819" s="118"/>
      <c r="I819" s="118"/>
      <c r="J819" s="118"/>
      <c r="K819" s="118"/>
      <c r="L819" s="118"/>
      <c r="M819" s="118"/>
    </row>
    <row r="820" spans="1:13" ht="12" customHeight="1" x14ac:dyDescent="0.3">
      <c r="A820" s="118"/>
      <c r="G820" s="118"/>
      <c r="H820" s="118"/>
      <c r="I820" s="118"/>
      <c r="J820" s="118"/>
      <c r="K820" s="118"/>
      <c r="L820" s="118"/>
      <c r="M820" s="118"/>
    </row>
    <row r="821" spans="1:13" ht="12" customHeight="1" x14ac:dyDescent="0.3">
      <c r="A821" s="118"/>
      <c r="G821" s="118"/>
      <c r="H821" s="118"/>
      <c r="I821" s="118"/>
      <c r="J821" s="118"/>
      <c r="K821" s="118"/>
      <c r="L821" s="118"/>
      <c r="M821" s="118"/>
    </row>
    <row r="822" spans="1:13" ht="12" customHeight="1" x14ac:dyDescent="0.3">
      <c r="A822" s="118"/>
      <c r="G822" s="118"/>
      <c r="H822" s="118"/>
      <c r="I822" s="118"/>
      <c r="J822" s="118"/>
      <c r="K822" s="118"/>
      <c r="L822" s="118"/>
      <c r="M822" s="118"/>
    </row>
    <row r="823" spans="1:13" ht="12" customHeight="1" x14ac:dyDescent="0.3">
      <c r="A823" s="118"/>
      <c r="G823" s="118"/>
      <c r="H823" s="118"/>
      <c r="I823" s="118"/>
      <c r="J823" s="118"/>
      <c r="K823" s="118"/>
      <c r="L823" s="118"/>
      <c r="M823" s="118"/>
    </row>
    <row r="824" spans="1:13" ht="12" customHeight="1" x14ac:dyDescent="0.3">
      <c r="A824" s="118"/>
      <c r="G824" s="118"/>
      <c r="H824" s="118"/>
      <c r="I824" s="118"/>
      <c r="J824" s="118"/>
      <c r="K824" s="118"/>
      <c r="L824" s="118"/>
      <c r="M824" s="118"/>
    </row>
    <row r="825" spans="1:13" ht="12" customHeight="1" x14ac:dyDescent="0.3">
      <c r="A825" s="118"/>
      <c r="G825" s="118"/>
      <c r="H825" s="118"/>
      <c r="I825" s="118"/>
      <c r="J825" s="118"/>
      <c r="K825" s="118"/>
      <c r="L825" s="118"/>
      <c r="M825" s="118"/>
    </row>
    <row r="826" spans="1:13" ht="12" customHeight="1" x14ac:dyDescent="0.3">
      <c r="A826" s="118"/>
      <c r="G826" s="118"/>
      <c r="H826" s="118"/>
      <c r="I826" s="118"/>
      <c r="J826" s="118"/>
      <c r="K826" s="118"/>
      <c r="L826" s="118"/>
      <c r="M826" s="118"/>
    </row>
    <row r="827" spans="1:13" ht="12" customHeight="1" x14ac:dyDescent="0.3">
      <c r="A827" s="118"/>
      <c r="G827" s="118"/>
      <c r="H827" s="118"/>
      <c r="I827" s="118"/>
      <c r="J827" s="118"/>
      <c r="K827" s="118"/>
      <c r="L827" s="118"/>
      <c r="M827" s="118"/>
    </row>
    <row r="828" spans="1:13" ht="12" customHeight="1" x14ac:dyDescent="0.3">
      <c r="A828" s="118"/>
      <c r="G828" s="118"/>
      <c r="H828" s="118"/>
      <c r="I828" s="118"/>
      <c r="J828" s="118"/>
      <c r="K828" s="118"/>
      <c r="L828" s="118"/>
      <c r="M828" s="118"/>
    </row>
    <row r="829" spans="1:13" ht="12" customHeight="1" x14ac:dyDescent="0.3">
      <c r="A829" s="118"/>
      <c r="G829" s="118"/>
      <c r="H829" s="118"/>
      <c r="I829" s="118"/>
      <c r="J829" s="118"/>
      <c r="K829" s="118"/>
      <c r="L829" s="118"/>
      <c r="M829" s="118"/>
    </row>
    <row r="830" spans="1:13" ht="12" customHeight="1" x14ac:dyDescent="0.3">
      <c r="A830" s="118"/>
      <c r="G830" s="118"/>
      <c r="H830" s="118"/>
      <c r="I830" s="118"/>
      <c r="J830" s="118"/>
      <c r="K830" s="118"/>
      <c r="L830" s="118"/>
      <c r="M830" s="118"/>
    </row>
    <row r="831" spans="1:13" ht="12" customHeight="1" x14ac:dyDescent="0.3">
      <c r="A831" s="118"/>
      <c r="G831" s="118"/>
      <c r="H831" s="118"/>
      <c r="I831" s="118"/>
      <c r="J831" s="118"/>
      <c r="K831" s="118"/>
      <c r="L831" s="118"/>
      <c r="M831" s="118"/>
    </row>
    <row r="832" spans="1:13" ht="12" customHeight="1" x14ac:dyDescent="0.3">
      <c r="A832" s="118"/>
      <c r="G832" s="118"/>
      <c r="H832" s="118"/>
      <c r="I832" s="118"/>
      <c r="J832" s="118"/>
      <c r="K832" s="118"/>
      <c r="L832" s="118"/>
      <c r="M832" s="118"/>
    </row>
    <row r="833" spans="1:13" ht="12" customHeight="1" x14ac:dyDescent="0.3">
      <c r="A833" s="118"/>
      <c r="G833" s="118"/>
      <c r="H833" s="118"/>
      <c r="I833" s="118"/>
      <c r="J833" s="118"/>
      <c r="K833" s="118"/>
      <c r="L833" s="118"/>
      <c r="M833" s="118"/>
    </row>
    <row r="834" spans="1:13" ht="12" customHeight="1" x14ac:dyDescent="0.3">
      <c r="A834" s="118"/>
      <c r="G834" s="118"/>
      <c r="H834" s="118"/>
      <c r="I834" s="118"/>
      <c r="J834" s="118"/>
      <c r="K834" s="118"/>
      <c r="L834" s="118"/>
      <c r="M834" s="118"/>
    </row>
    <row r="835" spans="1:13" ht="12" customHeight="1" x14ac:dyDescent="0.3">
      <c r="A835" s="118"/>
      <c r="G835" s="118"/>
      <c r="H835" s="118"/>
      <c r="I835" s="118"/>
      <c r="J835" s="118"/>
      <c r="K835" s="118"/>
      <c r="L835" s="118"/>
      <c r="M835" s="118"/>
    </row>
    <row r="836" spans="1:13" ht="12" customHeight="1" x14ac:dyDescent="0.3">
      <c r="A836" s="118"/>
      <c r="G836" s="118"/>
      <c r="H836" s="118"/>
      <c r="I836" s="118"/>
      <c r="J836" s="118"/>
      <c r="K836" s="118"/>
      <c r="L836" s="118"/>
      <c r="M836" s="118"/>
    </row>
    <row r="837" spans="1:13" ht="12" customHeight="1" x14ac:dyDescent="0.3">
      <c r="A837" s="118"/>
      <c r="G837" s="118"/>
      <c r="H837" s="118"/>
      <c r="I837" s="118"/>
      <c r="J837" s="118"/>
      <c r="K837" s="118"/>
      <c r="L837" s="118"/>
      <c r="M837" s="118"/>
    </row>
    <row r="838" spans="1:13" ht="12" customHeight="1" x14ac:dyDescent="0.3">
      <c r="A838" s="118"/>
      <c r="G838" s="118"/>
      <c r="H838" s="118"/>
      <c r="I838" s="118"/>
      <c r="J838" s="118"/>
      <c r="K838" s="118"/>
      <c r="L838" s="118"/>
      <c r="M838" s="118"/>
    </row>
    <row r="839" spans="1:13" ht="12" customHeight="1" x14ac:dyDescent="0.3">
      <c r="A839" s="118"/>
      <c r="G839" s="118"/>
      <c r="H839" s="118"/>
      <c r="I839" s="118"/>
      <c r="J839" s="118"/>
      <c r="K839" s="118"/>
      <c r="L839" s="118"/>
      <c r="M839" s="118"/>
    </row>
    <row r="840" spans="1:13" ht="12" customHeight="1" x14ac:dyDescent="0.3">
      <c r="A840" s="118"/>
      <c r="G840" s="118"/>
      <c r="H840" s="118"/>
      <c r="I840" s="118"/>
      <c r="J840" s="118"/>
      <c r="K840" s="118"/>
      <c r="L840" s="118"/>
      <c r="M840" s="118"/>
    </row>
    <row r="841" spans="1:13" ht="12" customHeight="1" x14ac:dyDescent="0.3">
      <c r="A841" s="118"/>
      <c r="G841" s="118"/>
      <c r="H841" s="118"/>
      <c r="I841" s="118"/>
      <c r="J841" s="118"/>
      <c r="K841" s="118"/>
      <c r="L841" s="118"/>
      <c r="M841" s="118"/>
    </row>
    <row r="842" spans="1:13" ht="12" customHeight="1" x14ac:dyDescent="0.3">
      <c r="A842" s="118"/>
      <c r="G842" s="118"/>
      <c r="H842" s="118"/>
      <c r="I842" s="118"/>
      <c r="J842" s="118"/>
      <c r="K842" s="118"/>
      <c r="L842" s="118"/>
      <c r="M842" s="118"/>
    </row>
    <row r="843" spans="1:13" ht="12" customHeight="1" x14ac:dyDescent="0.3">
      <c r="A843" s="118"/>
      <c r="G843" s="118"/>
      <c r="H843" s="118"/>
      <c r="I843" s="118"/>
      <c r="J843" s="118"/>
      <c r="K843" s="118"/>
      <c r="L843" s="118"/>
      <c r="M843" s="118"/>
    </row>
    <row r="844" spans="1:13" ht="12" customHeight="1" x14ac:dyDescent="0.3">
      <c r="A844" s="118"/>
      <c r="G844" s="118"/>
      <c r="H844" s="118"/>
      <c r="I844" s="118"/>
      <c r="J844" s="118"/>
      <c r="K844" s="118"/>
      <c r="L844" s="118"/>
      <c r="M844" s="118"/>
    </row>
    <row r="845" spans="1:13" ht="12" customHeight="1" x14ac:dyDescent="0.3">
      <c r="A845" s="118"/>
      <c r="G845" s="118"/>
      <c r="H845" s="118"/>
      <c r="I845" s="118"/>
      <c r="J845" s="118"/>
      <c r="K845" s="118"/>
      <c r="L845" s="118"/>
      <c r="M845" s="118"/>
    </row>
    <row r="846" spans="1:13" ht="12" customHeight="1" x14ac:dyDescent="0.3">
      <c r="A846" s="118"/>
      <c r="G846" s="118"/>
      <c r="H846" s="118"/>
      <c r="I846" s="118"/>
      <c r="J846" s="118"/>
      <c r="K846" s="118"/>
      <c r="L846" s="118"/>
      <c r="M846" s="118"/>
    </row>
    <row r="847" spans="1:13" ht="12" customHeight="1" x14ac:dyDescent="0.3">
      <c r="A847" s="118"/>
      <c r="G847" s="118"/>
      <c r="H847" s="118"/>
      <c r="I847" s="118"/>
      <c r="J847" s="118"/>
      <c r="K847" s="118"/>
      <c r="L847" s="118"/>
      <c r="M847" s="118"/>
    </row>
    <row r="848" spans="1:13" ht="12" customHeight="1" x14ac:dyDescent="0.3">
      <c r="A848" s="118"/>
      <c r="G848" s="118"/>
      <c r="H848" s="118"/>
      <c r="I848" s="118"/>
      <c r="J848" s="118"/>
      <c r="K848" s="118"/>
      <c r="L848" s="118"/>
      <c r="M848" s="118"/>
    </row>
    <row r="849" spans="1:13" ht="12" customHeight="1" x14ac:dyDescent="0.3">
      <c r="A849" s="118"/>
      <c r="G849" s="118"/>
      <c r="H849" s="118"/>
      <c r="I849" s="118"/>
      <c r="J849" s="118"/>
      <c r="K849" s="118"/>
      <c r="L849" s="118"/>
      <c r="M849" s="118"/>
    </row>
    <row r="850" spans="1:13" ht="12" customHeight="1" x14ac:dyDescent="0.3">
      <c r="A850" s="118"/>
      <c r="G850" s="118"/>
      <c r="H850" s="118"/>
      <c r="I850" s="118"/>
      <c r="J850" s="118"/>
      <c r="K850" s="118"/>
      <c r="L850" s="118"/>
      <c r="M850" s="118"/>
    </row>
    <row r="851" spans="1:13" ht="12" customHeight="1" x14ac:dyDescent="0.3">
      <c r="A851" s="118"/>
      <c r="G851" s="118"/>
      <c r="H851" s="118"/>
      <c r="I851" s="118"/>
      <c r="J851" s="118"/>
      <c r="K851" s="118"/>
      <c r="L851" s="118"/>
      <c r="M851" s="118"/>
    </row>
    <row r="852" spans="1:13" ht="12" customHeight="1" x14ac:dyDescent="0.3">
      <c r="A852" s="118"/>
      <c r="G852" s="118"/>
      <c r="H852" s="118"/>
      <c r="I852" s="118"/>
      <c r="J852" s="118"/>
      <c r="K852" s="118"/>
      <c r="L852" s="118"/>
      <c r="M852" s="118"/>
    </row>
    <row r="853" spans="1:13" ht="12" customHeight="1" x14ac:dyDescent="0.3">
      <c r="A853" s="118"/>
      <c r="G853" s="118"/>
      <c r="H853" s="118"/>
      <c r="I853" s="118"/>
      <c r="J853" s="118"/>
      <c r="K853" s="118"/>
      <c r="L853" s="118"/>
      <c r="M853" s="118"/>
    </row>
    <row r="854" spans="1:13" ht="12" customHeight="1" x14ac:dyDescent="0.3">
      <c r="A854" s="118"/>
      <c r="G854" s="118"/>
      <c r="H854" s="118"/>
      <c r="I854" s="118"/>
      <c r="J854" s="118"/>
      <c r="K854" s="118"/>
      <c r="L854" s="118"/>
      <c r="M854" s="118"/>
    </row>
    <row r="855" spans="1:13" ht="12" customHeight="1" x14ac:dyDescent="0.3">
      <c r="A855" s="118"/>
      <c r="G855" s="118"/>
      <c r="H855" s="118"/>
      <c r="I855" s="118"/>
      <c r="J855" s="118"/>
      <c r="K855" s="118"/>
      <c r="L855" s="118"/>
      <c r="M855" s="118"/>
    </row>
    <row r="856" spans="1:13" ht="12" customHeight="1" x14ac:dyDescent="0.3">
      <c r="A856" s="118"/>
      <c r="G856" s="118"/>
      <c r="H856" s="118"/>
      <c r="I856" s="118"/>
      <c r="J856" s="118"/>
      <c r="K856" s="118"/>
      <c r="L856" s="118"/>
      <c r="M856" s="118"/>
    </row>
    <row r="857" spans="1:13" ht="12" customHeight="1" x14ac:dyDescent="0.3">
      <c r="A857" s="118"/>
      <c r="G857" s="118"/>
      <c r="H857" s="118"/>
      <c r="I857" s="118"/>
      <c r="J857" s="118"/>
      <c r="K857" s="118"/>
      <c r="L857" s="118"/>
      <c r="M857" s="118"/>
    </row>
    <row r="858" spans="1:13" ht="12" customHeight="1" x14ac:dyDescent="0.3">
      <c r="A858" s="118"/>
      <c r="G858" s="118"/>
      <c r="H858" s="118"/>
      <c r="I858" s="118"/>
      <c r="J858" s="118"/>
      <c r="K858" s="118"/>
      <c r="L858" s="118"/>
      <c r="M858" s="118"/>
    </row>
    <row r="859" spans="1:13" ht="12" customHeight="1" x14ac:dyDescent="0.3">
      <c r="A859" s="118"/>
      <c r="G859" s="118"/>
      <c r="H859" s="118"/>
      <c r="I859" s="118"/>
      <c r="J859" s="118"/>
      <c r="K859" s="118"/>
      <c r="L859" s="118"/>
      <c r="M859" s="118"/>
    </row>
    <row r="860" spans="1:13" ht="12" customHeight="1" x14ac:dyDescent="0.3">
      <c r="A860" s="118"/>
      <c r="G860" s="118"/>
      <c r="H860" s="118"/>
      <c r="I860" s="118"/>
      <c r="J860" s="118"/>
      <c r="K860" s="118"/>
      <c r="L860" s="118"/>
      <c r="M860" s="118"/>
    </row>
    <row r="861" spans="1:13" ht="12" customHeight="1" x14ac:dyDescent="0.3">
      <c r="A861" s="118"/>
      <c r="G861" s="118"/>
      <c r="H861" s="118"/>
      <c r="I861" s="118"/>
      <c r="J861" s="118"/>
      <c r="K861" s="118"/>
      <c r="L861" s="118"/>
      <c r="M861" s="118"/>
    </row>
    <row r="862" spans="1:13" ht="12" customHeight="1" x14ac:dyDescent="0.3">
      <c r="A862" s="118"/>
      <c r="G862" s="118"/>
      <c r="H862" s="118"/>
      <c r="I862" s="118"/>
      <c r="J862" s="118"/>
      <c r="K862" s="118"/>
      <c r="L862" s="118"/>
      <c r="M862" s="118"/>
    </row>
    <row r="863" spans="1:13" ht="12" customHeight="1" x14ac:dyDescent="0.3">
      <c r="A863" s="118"/>
      <c r="G863" s="118"/>
      <c r="H863" s="118"/>
      <c r="I863" s="118"/>
      <c r="J863" s="118"/>
      <c r="K863" s="118"/>
      <c r="L863" s="118"/>
      <c r="M863" s="118"/>
    </row>
    <row r="864" spans="1:13" ht="12" customHeight="1" x14ac:dyDescent="0.3">
      <c r="A864" s="118"/>
      <c r="G864" s="118"/>
      <c r="H864" s="118"/>
      <c r="I864" s="118"/>
      <c r="J864" s="118"/>
      <c r="K864" s="118"/>
      <c r="L864" s="118"/>
      <c r="M864" s="118"/>
    </row>
    <row r="865" spans="1:13" ht="12" customHeight="1" x14ac:dyDescent="0.3">
      <c r="A865" s="118"/>
      <c r="G865" s="118"/>
      <c r="H865" s="118"/>
      <c r="I865" s="118"/>
      <c r="J865" s="118"/>
      <c r="K865" s="118"/>
      <c r="L865" s="118"/>
      <c r="M865" s="118"/>
    </row>
    <row r="866" spans="1:13" ht="12" customHeight="1" x14ac:dyDescent="0.3">
      <c r="A866" s="118"/>
      <c r="G866" s="118"/>
      <c r="H866" s="118"/>
      <c r="I866" s="118"/>
      <c r="J866" s="118"/>
      <c r="K866" s="118"/>
      <c r="L866" s="118"/>
      <c r="M866" s="118"/>
    </row>
    <row r="867" spans="1:13" ht="12" customHeight="1" x14ac:dyDescent="0.3">
      <c r="A867" s="118"/>
      <c r="G867" s="118"/>
      <c r="H867" s="118"/>
      <c r="I867" s="118"/>
      <c r="J867" s="118"/>
      <c r="K867" s="118"/>
      <c r="L867" s="118"/>
      <c r="M867" s="118"/>
    </row>
    <row r="868" spans="1:13" ht="12" customHeight="1" x14ac:dyDescent="0.3">
      <c r="A868" s="118"/>
      <c r="G868" s="118"/>
      <c r="H868" s="118"/>
      <c r="I868" s="118"/>
      <c r="J868" s="118"/>
      <c r="K868" s="118"/>
      <c r="L868" s="118"/>
      <c r="M868" s="118"/>
    </row>
    <row r="869" spans="1:13" ht="12" customHeight="1" x14ac:dyDescent="0.3">
      <c r="A869" s="118"/>
      <c r="G869" s="118"/>
      <c r="H869" s="118"/>
      <c r="I869" s="118"/>
      <c r="J869" s="118"/>
      <c r="K869" s="118"/>
      <c r="L869" s="118"/>
      <c r="M869" s="118"/>
    </row>
    <row r="870" spans="1:13" ht="12" customHeight="1" x14ac:dyDescent="0.3">
      <c r="A870" s="118"/>
      <c r="G870" s="118"/>
      <c r="H870" s="118"/>
      <c r="I870" s="118"/>
      <c r="J870" s="118"/>
      <c r="K870" s="118"/>
      <c r="L870" s="118"/>
      <c r="M870" s="118"/>
    </row>
    <row r="871" spans="1:13" ht="12" customHeight="1" x14ac:dyDescent="0.3">
      <c r="A871" s="118"/>
      <c r="G871" s="118"/>
      <c r="H871" s="118"/>
      <c r="I871" s="118"/>
      <c r="J871" s="118"/>
      <c r="K871" s="118"/>
      <c r="L871" s="118"/>
      <c r="M871" s="118"/>
    </row>
    <row r="872" spans="1:13" ht="12" customHeight="1" x14ac:dyDescent="0.3">
      <c r="A872" s="118"/>
      <c r="G872" s="118"/>
      <c r="H872" s="118"/>
      <c r="I872" s="118"/>
      <c r="J872" s="118"/>
      <c r="K872" s="118"/>
      <c r="L872" s="118"/>
      <c r="M872" s="118"/>
    </row>
    <row r="873" spans="1:13" ht="12" customHeight="1" x14ac:dyDescent="0.3">
      <c r="A873" s="118"/>
      <c r="G873" s="118"/>
      <c r="H873" s="118"/>
      <c r="I873" s="118"/>
      <c r="J873" s="118"/>
      <c r="K873" s="118"/>
      <c r="L873" s="118"/>
      <c r="M873" s="118"/>
    </row>
    <row r="874" spans="1:13" ht="12" customHeight="1" x14ac:dyDescent="0.3">
      <c r="A874" s="118"/>
      <c r="G874" s="118"/>
      <c r="H874" s="118"/>
      <c r="I874" s="118"/>
      <c r="J874" s="118"/>
      <c r="K874" s="118"/>
      <c r="L874" s="118"/>
      <c r="M874" s="118"/>
    </row>
    <row r="875" spans="1:13" ht="12" customHeight="1" x14ac:dyDescent="0.3">
      <c r="A875" s="118"/>
      <c r="G875" s="118"/>
      <c r="H875" s="118"/>
      <c r="I875" s="118"/>
      <c r="J875" s="118"/>
      <c r="K875" s="118"/>
      <c r="L875" s="118"/>
      <c r="M875" s="118"/>
    </row>
    <row r="876" spans="1:13" ht="12" customHeight="1" x14ac:dyDescent="0.3">
      <c r="A876" s="118"/>
      <c r="G876" s="118"/>
      <c r="H876" s="118"/>
      <c r="I876" s="118"/>
      <c r="J876" s="118"/>
      <c r="K876" s="118"/>
      <c r="L876" s="118"/>
      <c r="M876" s="118"/>
    </row>
    <row r="877" spans="1:13" ht="12" customHeight="1" x14ac:dyDescent="0.3">
      <c r="A877" s="118"/>
      <c r="G877" s="118"/>
      <c r="H877" s="118"/>
      <c r="I877" s="118"/>
      <c r="J877" s="118"/>
      <c r="K877" s="118"/>
      <c r="L877" s="118"/>
      <c r="M877" s="118"/>
    </row>
    <row r="878" spans="1:13" ht="12" customHeight="1" x14ac:dyDescent="0.3">
      <c r="A878" s="118"/>
      <c r="G878" s="118"/>
      <c r="H878" s="118"/>
      <c r="I878" s="118"/>
      <c r="J878" s="118"/>
      <c r="K878" s="118"/>
      <c r="L878" s="118"/>
      <c r="M878" s="118"/>
    </row>
    <row r="879" spans="1:13" ht="12" customHeight="1" x14ac:dyDescent="0.3">
      <c r="A879" s="118"/>
      <c r="G879" s="118"/>
      <c r="H879" s="118"/>
      <c r="I879" s="118"/>
      <c r="J879" s="118"/>
      <c r="K879" s="118"/>
      <c r="L879" s="118"/>
      <c r="M879" s="118"/>
    </row>
    <row r="880" spans="1:13" ht="12" customHeight="1" x14ac:dyDescent="0.3">
      <c r="A880" s="118"/>
      <c r="G880" s="118"/>
      <c r="H880" s="118"/>
      <c r="I880" s="118"/>
      <c r="J880" s="118"/>
      <c r="K880" s="118"/>
      <c r="L880" s="118"/>
      <c r="M880" s="118"/>
    </row>
    <row r="881" spans="1:13" ht="12" customHeight="1" x14ac:dyDescent="0.3">
      <c r="A881" s="118"/>
      <c r="G881" s="118"/>
      <c r="H881" s="118"/>
      <c r="I881" s="118"/>
      <c r="J881" s="118"/>
      <c r="K881" s="118"/>
      <c r="L881" s="118"/>
      <c r="M881" s="118"/>
    </row>
    <row r="882" spans="1:13" ht="12" customHeight="1" x14ac:dyDescent="0.3">
      <c r="A882" s="118"/>
      <c r="G882" s="118"/>
      <c r="H882" s="118"/>
      <c r="I882" s="118"/>
      <c r="J882" s="118"/>
      <c r="K882" s="118"/>
      <c r="L882" s="118"/>
      <c r="M882" s="118"/>
    </row>
    <row r="883" spans="1:13" ht="12" customHeight="1" x14ac:dyDescent="0.3">
      <c r="A883" s="118"/>
      <c r="G883" s="118"/>
      <c r="H883" s="118"/>
      <c r="I883" s="118"/>
      <c r="J883" s="118"/>
      <c r="K883" s="118"/>
      <c r="L883" s="118"/>
      <c r="M883" s="118"/>
    </row>
    <row r="884" spans="1:13" ht="12" customHeight="1" x14ac:dyDescent="0.3">
      <c r="A884" s="118"/>
      <c r="G884" s="118"/>
      <c r="H884" s="118"/>
      <c r="I884" s="118"/>
      <c r="J884" s="118"/>
      <c r="K884" s="118"/>
      <c r="L884" s="118"/>
      <c r="M884" s="118"/>
    </row>
    <row r="885" spans="1:13" ht="12" customHeight="1" x14ac:dyDescent="0.3">
      <c r="A885" s="118"/>
      <c r="G885" s="118"/>
      <c r="H885" s="118"/>
      <c r="I885" s="118"/>
      <c r="J885" s="118"/>
      <c r="K885" s="118"/>
      <c r="L885" s="118"/>
      <c r="M885" s="118"/>
    </row>
    <row r="886" spans="1:13" ht="12" customHeight="1" x14ac:dyDescent="0.3">
      <c r="A886" s="118"/>
      <c r="G886" s="118"/>
      <c r="H886" s="118"/>
      <c r="I886" s="118"/>
      <c r="J886" s="118"/>
      <c r="K886" s="118"/>
      <c r="L886" s="118"/>
      <c r="M886" s="118"/>
    </row>
    <row r="887" spans="1:13" ht="12" customHeight="1" x14ac:dyDescent="0.3">
      <c r="A887" s="118"/>
      <c r="G887" s="118"/>
      <c r="H887" s="118"/>
      <c r="I887" s="118"/>
      <c r="J887" s="118"/>
      <c r="K887" s="118"/>
      <c r="L887" s="118"/>
      <c r="M887" s="118"/>
    </row>
    <row r="888" spans="1:13" ht="12" customHeight="1" x14ac:dyDescent="0.3">
      <c r="A888" s="118"/>
      <c r="G888" s="118"/>
      <c r="H888" s="118"/>
      <c r="I888" s="118"/>
      <c r="J888" s="118"/>
      <c r="K888" s="118"/>
      <c r="L888" s="118"/>
      <c r="M888" s="118"/>
    </row>
    <row r="889" spans="1:13" ht="12" customHeight="1" x14ac:dyDescent="0.3">
      <c r="A889" s="118"/>
      <c r="G889" s="118"/>
      <c r="H889" s="118"/>
      <c r="I889" s="118"/>
      <c r="J889" s="118"/>
      <c r="K889" s="118"/>
      <c r="L889" s="118"/>
      <c r="M889" s="118"/>
    </row>
    <row r="890" spans="1:13" ht="12" customHeight="1" x14ac:dyDescent="0.3">
      <c r="A890" s="118"/>
      <c r="G890" s="118"/>
      <c r="H890" s="118"/>
      <c r="I890" s="118"/>
      <c r="J890" s="118"/>
      <c r="K890" s="118"/>
      <c r="L890" s="118"/>
      <c r="M890" s="118"/>
    </row>
    <row r="891" spans="1:13" ht="12" customHeight="1" x14ac:dyDescent="0.3">
      <c r="A891" s="118"/>
      <c r="G891" s="118"/>
      <c r="H891" s="118"/>
      <c r="I891" s="118"/>
      <c r="J891" s="118"/>
      <c r="K891" s="118"/>
      <c r="L891" s="118"/>
      <c r="M891" s="118"/>
    </row>
    <row r="892" spans="1:13" ht="12" customHeight="1" x14ac:dyDescent="0.3">
      <c r="A892" s="118"/>
      <c r="G892" s="118"/>
      <c r="H892" s="118"/>
      <c r="I892" s="118"/>
      <c r="J892" s="118"/>
      <c r="K892" s="118"/>
      <c r="L892" s="118"/>
      <c r="M892" s="118"/>
    </row>
    <row r="893" spans="1:13" ht="12" customHeight="1" x14ac:dyDescent="0.3">
      <c r="A893" s="118"/>
      <c r="G893" s="118"/>
      <c r="H893" s="118"/>
      <c r="I893" s="118"/>
      <c r="J893" s="118"/>
      <c r="K893" s="118"/>
      <c r="L893" s="118"/>
      <c r="M893" s="118"/>
    </row>
    <row r="894" spans="1:13" ht="12" customHeight="1" x14ac:dyDescent="0.3">
      <c r="A894" s="118"/>
      <c r="G894" s="118"/>
      <c r="H894" s="118"/>
      <c r="I894" s="118"/>
      <c r="J894" s="118"/>
      <c r="K894" s="118"/>
      <c r="L894" s="118"/>
      <c r="M894" s="118"/>
    </row>
    <row r="895" spans="1:13" ht="12" customHeight="1" x14ac:dyDescent="0.3">
      <c r="A895" s="118"/>
      <c r="G895" s="118"/>
      <c r="H895" s="118"/>
      <c r="I895" s="118"/>
      <c r="J895" s="118"/>
      <c r="K895" s="118"/>
      <c r="L895" s="118"/>
      <c r="M895" s="118"/>
    </row>
    <row r="896" spans="1:13" ht="12" customHeight="1" x14ac:dyDescent="0.3">
      <c r="A896" s="118"/>
      <c r="G896" s="118"/>
      <c r="H896" s="118"/>
      <c r="I896" s="118"/>
      <c r="J896" s="118"/>
      <c r="K896" s="118"/>
      <c r="L896" s="118"/>
      <c r="M896" s="118"/>
    </row>
    <row r="897" spans="1:13" ht="12" customHeight="1" x14ac:dyDescent="0.3">
      <c r="A897" s="118"/>
      <c r="G897" s="118"/>
      <c r="H897" s="118"/>
      <c r="I897" s="118"/>
      <c r="J897" s="118"/>
      <c r="K897" s="118"/>
      <c r="L897" s="118"/>
      <c r="M897" s="118"/>
    </row>
    <row r="898" spans="1:13" ht="12" customHeight="1" x14ac:dyDescent="0.3">
      <c r="A898" s="118"/>
      <c r="G898" s="118"/>
      <c r="H898" s="118"/>
      <c r="I898" s="118"/>
      <c r="J898" s="118"/>
      <c r="K898" s="118"/>
      <c r="L898" s="118"/>
      <c r="M898" s="118"/>
    </row>
    <row r="899" spans="1:13" ht="12" customHeight="1" x14ac:dyDescent="0.3">
      <c r="A899" s="118"/>
      <c r="G899" s="118"/>
      <c r="H899" s="118"/>
      <c r="I899" s="118"/>
      <c r="J899" s="118"/>
      <c r="K899" s="118"/>
      <c r="L899" s="118"/>
      <c r="M899" s="118"/>
    </row>
    <row r="900" spans="1:13" ht="12" customHeight="1" x14ac:dyDescent="0.3">
      <c r="A900" s="118"/>
      <c r="G900" s="118"/>
      <c r="H900" s="118"/>
      <c r="I900" s="118"/>
      <c r="J900" s="118"/>
      <c r="K900" s="118"/>
      <c r="L900" s="118"/>
      <c r="M900" s="118"/>
    </row>
    <row r="901" spans="1:13" ht="12" customHeight="1" x14ac:dyDescent="0.3">
      <c r="A901" s="118"/>
      <c r="G901" s="118"/>
      <c r="H901" s="118"/>
      <c r="I901" s="118"/>
      <c r="J901" s="118"/>
      <c r="K901" s="118"/>
      <c r="L901" s="118"/>
      <c r="M901" s="118"/>
    </row>
    <row r="902" spans="1:13" ht="12" customHeight="1" x14ac:dyDescent="0.3">
      <c r="A902" s="118"/>
      <c r="G902" s="118"/>
      <c r="H902" s="118"/>
      <c r="I902" s="118"/>
      <c r="J902" s="118"/>
      <c r="K902" s="118"/>
      <c r="L902" s="118"/>
      <c r="M902" s="118"/>
    </row>
    <row r="903" spans="1:13" ht="12" customHeight="1" x14ac:dyDescent="0.3">
      <c r="A903" s="118"/>
      <c r="G903" s="118"/>
      <c r="H903" s="118"/>
      <c r="I903" s="118"/>
      <c r="J903" s="118"/>
      <c r="K903" s="118"/>
      <c r="L903" s="118"/>
      <c r="M903" s="118"/>
    </row>
    <row r="904" spans="1:13" ht="12" customHeight="1" x14ac:dyDescent="0.3">
      <c r="A904" s="118"/>
      <c r="G904" s="118"/>
      <c r="H904" s="118"/>
      <c r="I904" s="118"/>
      <c r="J904" s="118"/>
      <c r="K904" s="118"/>
      <c r="L904" s="118"/>
      <c r="M904" s="118"/>
    </row>
    <row r="905" spans="1:13" ht="12" customHeight="1" x14ac:dyDescent="0.3">
      <c r="A905" s="118"/>
      <c r="G905" s="118"/>
      <c r="H905" s="118"/>
      <c r="I905" s="118"/>
      <c r="J905" s="118"/>
      <c r="K905" s="118"/>
      <c r="L905" s="118"/>
      <c r="M905" s="118"/>
    </row>
    <row r="906" spans="1:13" ht="12" customHeight="1" x14ac:dyDescent="0.3">
      <c r="A906" s="118"/>
      <c r="G906" s="118"/>
      <c r="H906" s="118"/>
      <c r="I906" s="118"/>
      <c r="J906" s="118"/>
      <c r="K906" s="118"/>
      <c r="L906" s="118"/>
      <c r="M906" s="118"/>
    </row>
    <row r="907" spans="1:13" ht="12" customHeight="1" x14ac:dyDescent="0.3">
      <c r="A907" s="118"/>
      <c r="G907" s="118"/>
      <c r="H907" s="118"/>
      <c r="I907" s="118"/>
      <c r="J907" s="118"/>
      <c r="K907" s="118"/>
      <c r="L907" s="118"/>
      <c r="M907" s="118"/>
    </row>
    <row r="908" spans="1:13" ht="12" customHeight="1" x14ac:dyDescent="0.3">
      <c r="A908" s="118"/>
      <c r="G908" s="118"/>
      <c r="H908" s="118"/>
      <c r="I908" s="118"/>
      <c r="J908" s="118"/>
      <c r="K908" s="118"/>
      <c r="L908" s="118"/>
      <c r="M908" s="118"/>
    </row>
    <row r="909" spans="1:13" ht="12" customHeight="1" x14ac:dyDescent="0.3">
      <c r="A909" s="118"/>
      <c r="G909" s="118"/>
      <c r="H909" s="118"/>
      <c r="I909" s="118"/>
      <c r="J909" s="118"/>
      <c r="K909" s="118"/>
      <c r="L909" s="118"/>
      <c r="M909" s="118"/>
    </row>
    <row r="910" spans="1:13" ht="12" customHeight="1" x14ac:dyDescent="0.3">
      <c r="A910" s="118"/>
      <c r="G910" s="118"/>
      <c r="H910" s="118"/>
      <c r="I910" s="118"/>
      <c r="J910" s="118"/>
      <c r="K910" s="118"/>
      <c r="L910" s="118"/>
      <c r="M910" s="118"/>
    </row>
    <row r="911" spans="1:13" ht="12" customHeight="1" x14ac:dyDescent="0.3">
      <c r="A911" s="118"/>
      <c r="G911" s="118"/>
      <c r="H911" s="118"/>
      <c r="I911" s="118"/>
      <c r="J911" s="118"/>
      <c r="K911" s="118"/>
      <c r="L911" s="118"/>
      <c r="M911" s="118"/>
    </row>
    <row r="912" spans="1:13" ht="12" customHeight="1" x14ac:dyDescent="0.3">
      <c r="A912" s="118"/>
      <c r="G912" s="118"/>
      <c r="H912" s="118"/>
      <c r="I912" s="118"/>
      <c r="J912" s="118"/>
      <c r="K912" s="118"/>
      <c r="L912" s="118"/>
      <c r="M912" s="118"/>
    </row>
    <row r="913" spans="1:13" ht="12" customHeight="1" x14ac:dyDescent="0.3">
      <c r="A913" s="118"/>
      <c r="G913" s="118"/>
      <c r="H913" s="118"/>
      <c r="I913" s="118"/>
      <c r="J913" s="118"/>
      <c r="K913" s="118"/>
      <c r="L913" s="118"/>
      <c r="M913" s="118"/>
    </row>
    <row r="914" spans="1:13" ht="12" customHeight="1" x14ac:dyDescent="0.3">
      <c r="A914" s="118"/>
      <c r="G914" s="118"/>
      <c r="H914" s="118"/>
      <c r="I914" s="118"/>
      <c r="J914" s="118"/>
      <c r="K914" s="118"/>
      <c r="L914" s="118"/>
      <c r="M914" s="118"/>
    </row>
    <row r="915" spans="1:13" ht="12" customHeight="1" x14ac:dyDescent="0.3">
      <c r="A915" s="118"/>
      <c r="G915" s="118"/>
      <c r="H915" s="118"/>
      <c r="I915" s="118"/>
      <c r="J915" s="118"/>
      <c r="K915" s="118"/>
      <c r="L915" s="118"/>
      <c r="M915" s="118"/>
    </row>
    <row r="916" spans="1:13" ht="12" customHeight="1" x14ac:dyDescent="0.3">
      <c r="A916" s="118"/>
      <c r="G916" s="118"/>
      <c r="H916" s="118"/>
      <c r="I916" s="118"/>
      <c r="J916" s="118"/>
      <c r="K916" s="118"/>
      <c r="L916" s="118"/>
      <c r="M916" s="118"/>
    </row>
    <row r="917" spans="1:13" ht="12" customHeight="1" x14ac:dyDescent="0.3">
      <c r="A917" s="118"/>
      <c r="G917" s="118"/>
      <c r="H917" s="118"/>
      <c r="I917" s="118"/>
      <c r="J917" s="118"/>
      <c r="K917" s="118"/>
      <c r="L917" s="118"/>
      <c r="M917" s="118"/>
    </row>
    <row r="918" spans="1:13" ht="12" customHeight="1" x14ac:dyDescent="0.3">
      <c r="A918" s="118"/>
      <c r="G918" s="118"/>
      <c r="H918" s="118"/>
      <c r="I918" s="118"/>
      <c r="J918" s="118"/>
      <c r="K918" s="118"/>
      <c r="L918" s="118"/>
      <c r="M918" s="118"/>
    </row>
    <row r="919" spans="1:13" ht="12" customHeight="1" x14ac:dyDescent="0.3">
      <c r="A919" s="118"/>
      <c r="G919" s="118"/>
      <c r="H919" s="118"/>
      <c r="I919" s="118"/>
      <c r="J919" s="118"/>
      <c r="K919" s="118"/>
      <c r="L919" s="118"/>
      <c r="M919" s="118"/>
    </row>
    <row r="920" spans="1:13" ht="12" customHeight="1" x14ac:dyDescent="0.3">
      <c r="A920" s="118"/>
      <c r="G920" s="118"/>
      <c r="H920" s="118"/>
      <c r="I920" s="118"/>
      <c r="J920" s="118"/>
      <c r="K920" s="118"/>
      <c r="L920" s="118"/>
      <c r="M920" s="118"/>
    </row>
    <row r="921" spans="1:13" ht="12" customHeight="1" x14ac:dyDescent="0.3">
      <c r="A921" s="118"/>
      <c r="G921" s="118"/>
      <c r="H921" s="118"/>
      <c r="I921" s="118"/>
      <c r="J921" s="118"/>
      <c r="K921" s="118"/>
      <c r="L921" s="118"/>
      <c r="M921" s="118"/>
    </row>
    <row r="922" spans="1:13" ht="12" customHeight="1" x14ac:dyDescent="0.3">
      <c r="A922" s="118"/>
      <c r="G922" s="118"/>
      <c r="H922" s="118"/>
      <c r="I922" s="118"/>
      <c r="J922" s="118"/>
      <c r="K922" s="118"/>
      <c r="L922" s="118"/>
      <c r="M922" s="118"/>
    </row>
    <row r="923" spans="1:13" ht="12" customHeight="1" x14ac:dyDescent="0.3">
      <c r="A923" s="118"/>
      <c r="G923" s="118"/>
      <c r="H923" s="118"/>
      <c r="I923" s="118"/>
      <c r="J923" s="118"/>
      <c r="K923" s="118"/>
      <c r="L923" s="118"/>
      <c r="M923" s="118"/>
    </row>
    <row r="924" spans="1:13" ht="12" customHeight="1" x14ac:dyDescent="0.3">
      <c r="A924" s="118"/>
      <c r="G924" s="118"/>
      <c r="H924" s="118"/>
      <c r="I924" s="118"/>
      <c r="J924" s="118"/>
      <c r="K924" s="118"/>
      <c r="L924" s="118"/>
      <c r="M924" s="118"/>
    </row>
    <row r="925" spans="1:13" ht="12" customHeight="1" x14ac:dyDescent="0.3">
      <c r="A925" s="118"/>
      <c r="G925" s="118"/>
      <c r="H925" s="118"/>
      <c r="I925" s="118"/>
      <c r="J925" s="118"/>
      <c r="K925" s="118"/>
      <c r="L925" s="118"/>
      <c r="M925" s="118"/>
    </row>
    <row r="926" spans="1:13" ht="12" customHeight="1" x14ac:dyDescent="0.3">
      <c r="A926" s="118"/>
      <c r="G926" s="118"/>
      <c r="H926" s="118"/>
      <c r="I926" s="118"/>
      <c r="J926" s="118"/>
      <c r="K926" s="118"/>
      <c r="L926" s="118"/>
      <c r="M926" s="118"/>
    </row>
    <row r="927" spans="1:13" ht="12" customHeight="1" x14ac:dyDescent="0.3">
      <c r="A927" s="118"/>
      <c r="G927" s="118"/>
      <c r="H927" s="118"/>
      <c r="I927" s="118"/>
      <c r="J927" s="118"/>
      <c r="K927" s="118"/>
      <c r="L927" s="118"/>
      <c r="M927" s="118"/>
    </row>
    <row r="928" spans="1:13" ht="12" customHeight="1" x14ac:dyDescent="0.3">
      <c r="A928" s="118"/>
      <c r="G928" s="118"/>
      <c r="H928" s="118"/>
      <c r="I928" s="118"/>
      <c r="J928" s="118"/>
      <c r="K928" s="118"/>
      <c r="L928" s="118"/>
      <c r="M928" s="118"/>
    </row>
    <row r="929" spans="1:13" ht="12" customHeight="1" x14ac:dyDescent="0.3">
      <c r="A929" s="118"/>
      <c r="G929" s="118"/>
      <c r="H929" s="118"/>
      <c r="I929" s="118"/>
      <c r="J929" s="118"/>
      <c r="K929" s="118"/>
      <c r="L929" s="118"/>
      <c r="M929" s="118"/>
    </row>
    <row r="930" spans="1:13" ht="12" customHeight="1" x14ac:dyDescent="0.3">
      <c r="A930" s="118"/>
      <c r="G930" s="118"/>
      <c r="H930" s="118"/>
      <c r="I930" s="118"/>
      <c r="J930" s="118"/>
      <c r="K930" s="118"/>
      <c r="L930" s="118"/>
      <c r="M930" s="118"/>
    </row>
    <row r="931" spans="1:13" ht="12" customHeight="1" x14ac:dyDescent="0.3">
      <c r="A931" s="118"/>
      <c r="G931" s="118"/>
      <c r="H931" s="118"/>
      <c r="I931" s="118"/>
      <c r="J931" s="118"/>
      <c r="K931" s="118"/>
      <c r="L931" s="118"/>
      <c r="M931" s="118"/>
    </row>
    <row r="932" spans="1:13" ht="12" customHeight="1" x14ac:dyDescent="0.3">
      <c r="A932" s="118"/>
      <c r="G932" s="118"/>
      <c r="H932" s="118"/>
      <c r="I932" s="118"/>
      <c r="J932" s="118"/>
      <c r="K932" s="118"/>
      <c r="L932" s="118"/>
      <c r="M932" s="118"/>
    </row>
    <row r="933" spans="1:13" ht="12" customHeight="1" x14ac:dyDescent="0.3">
      <c r="A933" s="118"/>
      <c r="G933" s="118"/>
      <c r="H933" s="118"/>
      <c r="I933" s="118"/>
      <c r="J933" s="118"/>
      <c r="K933" s="118"/>
      <c r="L933" s="118"/>
      <c r="M933" s="118"/>
    </row>
    <row r="934" spans="1:13" ht="12" customHeight="1" x14ac:dyDescent="0.3">
      <c r="A934" s="118"/>
      <c r="G934" s="118"/>
      <c r="H934" s="118"/>
      <c r="I934" s="118"/>
      <c r="J934" s="118"/>
      <c r="K934" s="118"/>
      <c r="L934" s="118"/>
      <c r="M934" s="118"/>
    </row>
    <row r="935" spans="1:13" ht="12" customHeight="1" x14ac:dyDescent="0.3">
      <c r="A935" s="118"/>
      <c r="G935" s="118"/>
      <c r="H935" s="118"/>
      <c r="I935" s="118"/>
      <c r="J935" s="118"/>
      <c r="K935" s="118"/>
      <c r="L935" s="118"/>
      <c r="M935" s="118"/>
    </row>
    <row r="936" spans="1:13" ht="12" customHeight="1" x14ac:dyDescent="0.3">
      <c r="A936" s="118"/>
      <c r="G936" s="118"/>
      <c r="H936" s="118"/>
      <c r="I936" s="118"/>
      <c r="J936" s="118"/>
      <c r="K936" s="118"/>
      <c r="L936" s="118"/>
      <c r="M936" s="118"/>
    </row>
    <row r="937" spans="1:13" ht="12" customHeight="1" x14ac:dyDescent="0.3">
      <c r="A937" s="118"/>
      <c r="G937" s="118"/>
      <c r="H937" s="118"/>
      <c r="I937" s="118"/>
      <c r="J937" s="118"/>
      <c r="K937" s="118"/>
      <c r="L937" s="118"/>
      <c r="M937" s="118"/>
    </row>
    <row r="938" spans="1:13" ht="12" customHeight="1" x14ac:dyDescent="0.3">
      <c r="A938" s="118"/>
      <c r="G938" s="118"/>
      <c r="H938" s="118"/>
      <c r="I938" s="118"/>
      <c r="J938" s="118"/>
      <c r="K938" s="118"/>
      <c r="L938" s="118"/>
      <c r="M938" s="118"/>
    </row>
    <row r="939" spans="1:13" ht="12" customHeight="1" x14ac:dyDescent="0.3">
      <c r="A939" s="118"/>
      <c r="G939" s="118"/>
      <c r="H939" s="118"/>
      <c r="I939" s="118"/>
      <c r="J939" s="118"/>
      <c r="K939" s="118"/>
      <c r="L939" s="118"/>
      <c r="M939" s="118"/>
    </row>
    <row r="940" spans="1:13" ht="12" customHeight="1" x14ac:dyDescent="0.3">
      <c r="A940" s="118"/>
      <c r="G940" s="118"/>
      <c r="H940" s="118"/>
      <c r="I940" s="118"/>
      <c r="J940" s="118"/>
      <c r="K940" s="118"/>
      <c r="L940" s="118"/>
      <c r="M940" s="118"/>
    </row>
    <row r="941" spans="1:13" ht="12" customHeight="1" x14ac:dyDescent="0.3">
      <c r="A941" s="118"/>
      <c r="G941" s="118"/>
      <c r="H941" s="118"/>
      <c r="I941" s="118"/>
      <c r="J941" s="118"/>
      <c r="K941" s="118"/>
      <c r="L941" s="118"/>
      <c r="M941" s="118"/>
    </row>
    <row r="942" spans="1:13" ht="12" customHeight="1" x14ac:dyDescent="0.3">
      <c r="A942" s="118"/>
      <c r="G942" s="118"/>
      <c r="H942" s="118"/>
      <c r="I942" s="118"/>
      <c r="J942" s="118"/>
      <c r="K942" s="118"/>
      <c r="L942" s="118"/>
      <c r="M942" s="118"/>
    </row>
    <row r="943" spans="1:13" ht="12" customHeight="1" x14ac:dyDescent="0.3">
      <c r="A943" s="118"/>
      <c r="G943" s="118"/>
      <c r="H943" s="118"/>
      <c r="I943" s="118"/>
      <c r="J943" s="118"/>
      <c r="K943" s="118"/>
      <c r="L943" s="118"/>
      <c r="M943" s="118"/>
    </row>
    <row r="944" spans="1:13" ht="12" customHeight="1" x14ac:dyDescent="0.3">
      <c r="A944" s="118"/>
      <c r="G944" s="118"/>
      <c r="H944" s="118"/>
      <c r="I944" s="118"/>
      <c r="J944" s="118"/>
      <c r="K944" s="118"/>
      <c r="L944" s="118"/>
      <c r="M944" s="118"/>
    </row>
    <row r="945" spans="1:13" ht="12" customHeight="1" x14ac:dyDescent="0.3">
      <c r="A945" s="118"/>
      <c r="G945" s="118"/>
      <c r="H945" s="118"/>
      <c r="I945" s="118"/>
      <c r="J945" s="118"/>
      <c r="K945" s="118"/>
      <c r="L945" s="118"/>
      <c r="M945" s="118"/>
    </row>
    <row r="946" spans="1:13" ht="12" customHeight="1" x14ac:dyDescent="0.3">
      <c r="A946" s="118"/>
      <c r="G946" s="118"/>
      <c r="H946" s="118"/>
      <c r="I946" s="118"/>
      <c r="J946" s="118"/>
      <c r="K946" s="118"/>
      <c r="L946" s="118"/>
      <c r="M946" s="118"/>
    </row>
    <row r="947" spans="1:13" ht="12" customHeight="1" x14ac:dyDescent="0.3">
      <c r="A947" s="118"/>
      <c r="G947" s="118"/>
      <c r="H947" s="118"/>
      <c r="I947" s="118"/>
      <c r="J947" s="118"/>
      <c r="K947" s="118"/>
      <c r="L947" s="118"/>
      <c r="M947" s="118"/>
    </row>
    <row r="948" spans="1:13" ht="12" customHeight="1" x14ac:dyDescent="0.3">
      <c r="A948" s="118"/>
      <c r="G948" s="118"/>
      <c r="H948" s="118"/>
      <c r="I948" s="118"/>
      <c r="J948" s="118"/>
      <c r="K948" s="118"/>
      <c r="L948" s="118"/>
      <c r="M948" s="118"/>
    </row>
    <row r="949" spans="1:13" ht="12" customHeight="1" x14ac:dyDescent="0.3">
      <c r="A949" s="118"/>
      <c r="G949" s="118"/>
      <c r="H949" s="118"/>
      <c r="I949" s="118"/>
      <c r="J949" s="118"/>
      <c r="K949" s="118"/>
      <c r="L949" s="118"/>
      <c r="M949" s="118"/>
    </row>
    <row r="950" spans="1:13" ht="12" customHeight="1" x14ac:dyDescent="0.3">
      <c r="A950" s="118"/>
      <c r="G950" s="118"/>
      <c r="H950" s="118"/>
      <c r="I950" s="118"/>
      <c r="J950" s="118"/>
      <c r="K950" s="118"/>
      <c r="L950" s="118"/>
      <c r="M950" s="118"/>
    </row>
    <row r="951" spans="1:13" ht="12" customHeight="1" x14ac:dyDescent="0.3">
      <c r="A951" s="118"/>
      <c r="G951" s="118"/>
      <c r="H951" s="118"/>
      <c r="I951" s="118"/>
      <c r="J951" s="118"/>
      <c r="K951" s="118"/>
      <c r="L951" s="118"/>
      <c r="M951" s="118"/>
    </row>
    <row r="952" spans="1:13" ht="12" customHeight="1" x14ac:dyDescent="0.3">
      <c r="A952" s="118"/>
      <c r="G952" s="118"/>
      <c r="H952" s="118"/>
      <c r="I952" s="118"/>
      <c r="J952" s="118"/>
      <c r="K952" s="118"/>
      <c r="L952" s="118"/>
      <c r="M952" s="118"/>
    </row>
    <row r="953" spans="1:13" ht="12" customHeight="1" x14ac:dyDescent="0.3">
      <c r="A953" s="118"/>
      <c r="G953" s="118"/>
      <c r="H953" s="118"/>
      <c r="I953" s="118"/>
      <c r="J953" s="118"/>
      <c r="K953" s="118"/>
      <c r="L953" s="118"/>
      <c r="M953" s="118"/>
    </row>
    <row r="954" spans="1:13" ht="12" customHeight="1" x14ac:dyDescent="0.3">
      <c r="A954" s="118"/>
      <c r="G954" s="118"/>
      <c r="H954" s="118"/>
      <c r="I954" s="118"/>
      <c r="J954" s="118"/>
      <c r="K954" s="118"/>
      <c r="L954" s="118"/>
      <c r="M954" s="118"/>
    </row>
    <row r="955" spans="1:13" ht="12" customHeight="1" x14ac:dyDescent="0.3">
      <c r="A955" s="118"/>
      <c r="G955" s="118"/>
      <c r="H955" s="118"/>
      <c r="I955" s="118"/>
      <c r="J955" s="118"/>
      <c r="K955" s="118"/>
      <c r="L955" s="118"/>
      <c r="M955" s="118"/>
    </row>
    <row r="956" spans="1:13" ht="12" customHeight="1" x14ac:dyDescent="0.3">
      <c r="A956" s="118"/>
      <c r="G956" s="118"/>
      <c r="H956" s="118"/>
      <c r="I956" s="118"/>
      <c r="J956" s="118"/>
      <c r="K956" s="118"/>
      <c r="L956" s="118"/>
      <c r="M956" s="118"/>
    </row>
    <row r="957" spans="1:13" ht="12" customHeight="1" x14ac:dyDescent="0.3">
      <c r="A957" s="118"/>
      <c r="G957" s="118"/>
      <c r="H957" s="118"/>
      <c r="I957" s="118"/>
      <c r="J957" s="118"/>
      <c r="K957" s="118"/>
      <c r="L957" s="118"/>
      <c r="M957" s="118"/>
    </row>
    <row r="958" spans="1:13" ht="12" customHeight="1" x14ac:dyDescent="0.3">
      <c r="A958" s="118"/>
      <c r="G958" s="118"/>
      <c r="H958" s="118"/>
      <c r="I958" s="118"/>
      <c r="J958" s="118"/>
      <c r="K958" s="118"/>
      <c r="L958" s="118"/>
      <c r="M958" s="118"/>
    </row>
    <row r="959" spans="1:13" ht="12" customHeight="1" x14ac:dyDescent="0.3">
      <c r="A959" s="118"/>
      <c r="G959" s="118"/>
      <c r="H959" s="118"/>
      <c r="I959" s="118"/>
      <c r="J959" s="118"/>
      <c r="K959" s="118"/>
      <c r="L959" s="118"/>
      <c r="M959" s="118"/>
    </row>
    <row r="960" spans="1:13" ht="12" customHeight="1" x14ac:dyDescent="0.3">
      <c r="A960" s="118"/>
      <c r="G960" s="118"/>
      <c r="H960" s="118"/>
      <c r="I960" s="118"/>
      <c r="J960" s="118"/>
      <c r="K960" s="118"/>
      <c r="L960" s="118"/>
      <c r="M960" s="118"/>
    </row>
    <row r="961" spans="1:13" ht="12" customHeight="1" x14ac:dyDescent="0.3">
      <c r="A961" s="118"/>
      <c r="G961" s="118"/>
      <c r="H961" s="118"/>
      <c r="I961" s="118"/>
      <c r="J961" s="118"/>
      <c r="K961" s="118"/>
      <c r="L961" s="118"/>
      <c r="M961" s="118"/>
    </row>
    <row r="962" spans="1:13" ht="12" customHeight="1" x14ac:dyDescent="0.3">
      <c r="A962" s="118"/>
      <c r="G962" s="118"/>
      <c r="H962" s="118"/>
      <c r="I962" s="118"/>
      <c r="J962" s="118"/>
      <c r="K962" s="118"/>
      <c r="L962" s="118"/>
      <c r="M962" s="118"/>
    </row>
    <row r="963" spans="1:13" ht="12" customHeight="1" x14ac:dyDescent="0.3">
      <c r="A963" s="118"/>
      <c r="G963" s="118"/>
      <c r="H963" s="118"/>
      <c r="I963" s="118"/>
      <c r="J963" s="118"/>
      <c r="K963" s="118"/>
      <c r="L963" s="118"/>
      <c r="M963" s="118"/>
    </row>
    <row r="964" spans="1:13" ht="12" customHeight="1" x14ac:dyDescent="0.3">
      <c r="A964" s="118"/>
      <c r="G964" s="118"/>
      <c r="H964" s="118"/>
      <c r="I964" s="118"/>
      <c r="J964" s="118"/>
      <c r="K964" s="118"/>
      <c r="L964" s="118"/>
      <c r="M964" s="118"/>
    </row>
    <row r="965" spans="1:13" ht="12" customHeight="1" x14ac:dyDescent="0.3">
      <c r="A965" s="118"/>
      <c r="G965" s="118"/>
      <c r="H965" s="118"/>
      <c r="I965" s="118"/>
      <c r="J965" s="118"/>
      <c r="K965" s="118"/>
      <c r="L965" s="118"/>
      <c r="M965" s="118"/>
    </row>
    <row r="966" spans="1:13" ht="12" customHeight="1" x14ac:dyDescent="0.3">
      <c r="A966" s="118"/>
      <c r="G966" s="118"/>
      <c r="H966" s="118"/>
      <c r="I966" s="118"/>
      <c r="J966" s="118"/>
      <c r="K966" s="118"/>
      <c r="L966" s="118"/>
      <c r="M966" s="118"/>
    </row>
    <row r="967" spans="1:13" ht="12" customHeight="1" x14ac:dyDescent="0.3">
      <c r="A967" s="118"/>
      <c r="G967" s="118"/>
      <c r="H967" s="118"/>
      <c r="I967" s="118"/>
      <c r="J967" s="118"/>
      <c r="K967" s="118"/>
      <c r="L967" s="118"/>
      <c r="M967" s="118"/>
    </row>
    <row r="968" spans="1:13" ht="12" customHeight="1" x14ac:dyDescent="0.3">
      <c r="A968" s="118"/>
      <c r="G968" s="118"/>
      <c r="H968" s="118"/>
      <c r="I968" s="118"/>
      <c r="J968" s="118"/>
      <c r="K968" s="118"/>
      <c r="L968" s="118"/>
      <c r="M968" s="118"/>
    </row>
    <row r="969" spans="1:13" ht="12" customHeight="1" x14ac:dyDescent="0.3">
      <c r="A969" s="118"/>
      <c r="G969" s="118"/>
      <c r="H969" s="118"/>
      <c r="I969" s="118"/>
      <c r="J969" s="118"/>
      <c r="K969" s="118"/>
      <c r="L969" s="118"/>
      <c r="M969" s="118"/>
    </row>
    <row r="970" spans="1:13" ht="12" customHeight="1" x14ac:dyDescent="0.3">
      <c r="A970" s="118"/>
      <c r="G970" s="118"/>
      <c r="H970" s="118"/>
      <c r="I970" s="118"/>
      <c r="J970" s="118"/>
      <c r="K970" s="118"/>
      <c r="L970" s="118"/>
      <c r="M970" s="118"/>
    </row>
    <row r="971" spans="1:13" ht="12" customHeight="1" x14ac:dyDescent="0.3">
      <c r="A971" s="118"/>
      <c r="G971" s="118"/>
      <c r="H971" s="118"/>
      <c r="I971" s="118"/>
      <c r="J971" s="118"/>
      <c r="K971" s="118"/>
      <c r="L971" s="118"/>
      <c r="M971" s="118"/>
    </row>
    <row r="972" spans="1:13" ht="12" customHeight="1" x14ac:dyDescent="0.3">
      <c r="A972" s="118"/>
      <c r="G972" s="118"/>
      <c r="H972" s="118"/>
      <c r="I972" s="118"/>
      <c r="J972" s="118"/>
      <c r="K972" s="118"/>
      <c r="L972" s="118"/>
      <c r="M972" s="118"/>
    </row>
    <row r="973" spans="1:13" ht="12" customHeight="1" x14ac:dyDescent="0.3">
      <c r="A973" s="118"/>
      <c r="G973" s="118"/>
      <c r="H973" s="118"/>
      <c r="I973" s="118"/>
      <c r="J973" s="118"/>
      <c r="K973" s="118"/>
      <c r="L973" s="118"/>
      <c r="M973" s="118"/>
    </row>
    <row r="974" spans="1:13" ht="12" customHeight="1" x14ac:dyDescent="0.3">
      <c r="A974" s="118"/>
      <c r="G974" s="118"/>
      <c r="H974" s="118"/>
      <c r="I974" s="118"/>
      <c r="J974" s="118"/>
      <c r="K974" s="118"/>
      <c r="L974" s="118"/>
      <c r="M974" s="118"/>
    </row>
    <row r="975" spans="1:13" ht="12" customHeight="1" x14ac:dyDescent="0.3">
      <c r="A975" s="118"/>
      <c r="G975" s="118"/>
      <c r="H975" s="118"/>
      <c r="I975" s="118"/>
      <c r="J975" s="118"/>
      <c r="K975" s="118"/>
      <c r="L975" s="118"/>
      <c r="M975" s="118"/>
    </row>
    <row r="976" spans="1:13" ht="12" customHeight="1" x14ac:dyDescent="0.3">
      <c r="A976" s="118"/>
      <c r="G976" s="118"/>
      <c r="H976" s="118"/>
      <c r="I976" s="118"/>
      <c r="J976" s="118"/>
      <c r="K976" s="118"/>
      <c r="L976" s="118"/>
      <c r="M976" s="118"/>
    </row>
    <row r="977" spans="1:13" ht="12" customHeight="1" x14ac:dyDescent="0.3">
      <c r="A977" s="118"/>
      <c r="G977" s="118"/>
      <c r="H977" s="118"/>
      <c r="I977" s="118"/>
      <c r="J977" s="118"/>
      <c r="K977" s="118"/>
      <c r="L977" s="118"/>
      <c r="M977" s="118"/>
    </row>
    <row r="978" spans="1:13" ht="12" customHeight="1" x14ac:dyDescent="0.3">
      <c r="A978" s="118"/>
      <c r="G978" s="118"/>
      <c r="H978" s="118"/>
      <c r="I978" s="118"/>
      <c r="J978" s="118"/>
      <c r="K978" s="118"/>
      <c r="L978" s="118"/>
      <c r="M978" s="118"/>
    </row>
    <row r="979" spans="1:13" ht="12" customHeight="1" x14ac:dyDescent="0.3">
      <c r="A979" s="118"/>
      <c r="G979" s="118"/>
      <c r="H979" s="118"/>
      <c r="I979" s="118"/>
      <c r="J979" s="118"/>
      <c r="K979" s="118"/>
      <c r="L979" s="118"/>
      <c r="M979" s="118"/>
    </row>
    <row r="980" spans="1:13" ht="12" customHeight="1" x14ac:dyDescent="0.3">
      <c r="A980" s="118"/>
      <c r="G980" s="118"/>
      <c r="H980" s="118"/>
      <c r="I980" s="118"/>
      <c r="J980" s="118"/>
      <c r="K980" s="118"/>
      <c r="L980" s="118"/>
      <c r="M980" s="118"/>
    </row>
    <row r="981" spans="1:13" ht="12" customHeight="1" x14ac:dyDescent="0.3">
      <c r="A981" s="118"/>
      <c r="G981" s="118"/>
      <c r="H981" s="118"/>
      <c r="I981" s="118"/>
      <c r="J981" s="118"/>
      <c r="K981" s="118"/>
      <c r="L981" s="118"/>
      <c r="M981" s="118"/>
    </row>
    <row r="982" spans="1:13" ht="12" customHeight="1" x14ac:dyDescent="0.3">
      <c r="A982" s="118"/>
      <c r="G982" s="118"/>
      <c r="H982" s="118"/>
      <c r="I982" s="118"/>
      <c r="J982" s="118"/>
      <c r="K982" s="118"/>
      <c r="L982" s="118"/>
      <c r="M982" s="118"/>
    </row>
    <row r="983" spans="1:13" ht="12" customHeight="1" x14ac:dyDescent="0.3">
      <c r="A983" s="118"/>
      <c r="G983" s="118"/>
      <c r="H983" s="118"/>
      <c r="I983" s="118"/>
      <c r="J983" s="118"/>
      <c r="K983" s="118"/>
      <c r="L983" s="118"/>
      <c r="M983" s="118"/>
    </row>
    <row r="984" spans="1:13" ht="12" customHeight="1" x14ac:dyDescent="0.3">
      <c r="A984" s="118"/>
      <c r="G984" s="118"/>
      <c r="H984" s="118"/>
      <c r="I984" s="118"/>
      <c r="J984" s="118"/>
      <c r="K984" s="118"/>
      <c r="L984" s="118"/>
      <c r="M984" s="118"/>
    </row>
    <row r="985" spans="1:13" ht="12" customHeight="1" x14ac:dyDescent="0.3">
      <c r="A985" s="118"/>
      <c r="G985" s="118"/>
      <c r="H985" s="118"/>
      <c r="I985" s="118"/>
      <c r="J985" s="118"/>
      <c r="K985" s="118"/>
      <c r="L985" s="118"/>
      <c r="M985" s="118"/>
    </row>
    <row r="986" spans="1:13" ht="12" customHeight="1" x14ac:dyDescent="0.3">
      <c r="A986" s="118"/>
      <c r="G986" s="118"/>
      <c r="H986" s="118"/>
      <c r="I986" s="118"/>
      <c r="J986" s="118"/>
      <c r="K986" s="118"/>
      <c r="L986" s="118"/>
      <c r="M986" s="118"/>
    </row>
    <row r="987" spans="1:13" ht="12" customHeight="1" x14ac:dyDescent="0.3">
      <c r="A987" s="118"/>
      <c r="G987" s="118"/>
      <c r="H987" s="118"/>
      <c r="I987" s="118"/>
      <c r="J987" s="118"/>
      <c r="K987" s="118"/>
      <c r="L987" s="118"/>
      <c r="M987" s="118"/>
    </row>
    <row r="988" spans="1:13" ht="12" customHeight="1" x14ac:dyDescent="0.3">
      <c r="A988" s="118"/>
      <c r="G988" s="118"/>
      <c r="H988" s="118"/>
      <c r="I988" s="118"/>
      <c r="J988" s="118"/>
      <c r="K988" s="118"/>
      <c r="L988" s="118"/>
      <c r="M988" s="118"/>
    </row>
    <row r="989" spans="1:13" ht="12" customHeight="1" x14ac:dyDescent="0.3">
      <c r="A989" s="118"/>
      <c r="G989" s="118"/>
      <c r="H989" s="118"/>
      <c r="I989" s="118"/>
      <c r="J989" s="118"/>
      <c r="K989" s="118"/>
      <c r="L989" s="118"/>
      <c r="M989" s="118"/>
    </row>
    <row r="990" spans="1:13" ht="12" customHeight="1" x14ac:dyDescent="0.3">
      <c r="A990" s="118"/>
      <c r="G990" s="118"/>
      <c r="H990" s="118"/>
      <c r="I990" s="118"/>
      <c r="J990" s="118"/>
      <c r="K990" s="118"/>
      <c r="L990" s="118"/>
      <c r="M990" s="118"/>
    </row>
    <row r="991" spans="1:13" ht="12" customHeight="1" x14ac:dyDescent="0.3">
      <c r="A991" s="118"/>
      <c r="G991" s="118"/>
      <c r="H991" s="118"/>
      <c r="I991" s="118"/>
      <c r="J991" s="118"/>
      <c r="K991" s="118"/>
      <c r="L991" s="118"/>
      <c r="M991" s="118"/>
    </row>
    <row r="992" spans="1:13" ht="12" customHeight="1" x14ac:dyDescent="0.3">
      <c r="A992" s="118"/>
      <c r="G992" s="118"/>
      <c r="H992" s="118"/>
      <c r="I992" s="118"/>
      <c r="J992" s="118"/>
      <c r="K992" s="118"/>
      <c r="L992" s="118"/>
      <c r="M992" s="118"/>
    </row>
    <row r="993" spans="1:13" ht="12" customHeight="1" x14ac:dyDescent="0.3">
      <c r="A993" s="118"/>
      <c r="G993" s="118"/>
      <c r="H993" s="118"/>
      <c r="I993" s="118"/>
      <c r="J993" s="118"/>
      <c r="K993" s="118"/>
      <c r="L993" s="118"/>
      <c r="M993" s="118"/>
    </row>
    <row r="994" spans="1:13" ht="12" customHeight="1" x14ac:dyDescent="0.3">
      <c r="A994" s="118"/>
      <c r="G994" s="118"/>
      <c r="H994" s="118"/>
      <c r="I994" s="118"/>
      <c r="J994" s="118"/>
      <c r="K994" s="118"/>
      <c r="L994" s="118"/>
      <c r="M994" s="118"/>
    </row>
    <row r="995" spans="1:13" ht="12" customHeight="1" x14ac:dyDescent="0.3">
      <c r="A995" s="118"/>
      <c r="G995" s="118"/>
      <c r="H995" s="118"/>
      <c r="I995" s="118"/>
      <c r="J995" s="118"/>
      <c r="K995" s="118"/>
      <c r="L995" s="118"/>
      <c r="M995" s="118"/>
    </row>
    <row r="996" spans="1:13" ht="12" customHeight="1" x14ac:dyDescent="0.3">
      <c r="A996" s="118"/>
      <c r="G996" s="118"/>
      <c r="H996" s="118"/>
      <c r="I996" s="118"/>
      <c r="J996" s="118"/>
      <c r="K996" s="118"/>
      <c r="L996" s="118"/>
      <c r="M996" s="118"/>
    </row>
    <row r="997" spans="1:13" ht="12" customHeight="1" x14ac:dyDescent="0.3">
      <c r="A997" s="118"/>
      <c r="G997" s="118"/>
      <c r="H997" s="118"/>
      <c r="I997" s="118"/>
      <c r="J997" s="118"/>
      <c r="K997" s="118"/>
      <c r="L997" s="118"/>
      <c r="M997" s="118"/>
    </row>
    <row r="998" spans="1:13" ht="12" customHeight="1" x14ac:dyDescent="0.3">
      <c r="A998" s="118"/>
      <c r="G998" s="118"/>
      <c r="H998" s="118"/>
      <c r="I998" s="118"/>
      <c r="J998" s="118"/>
      <c r="K998" s="118"/>
      <c r="L998" s="118"/>
      <c r="M998" s="118"/>
    </row>
    <row r="999" spans="1:13" ht="12" customHeight="1" x14ac:dyDescent="0.3">
      <c r="A999" s="118"/>
      <c r="G999" s="118"/>
      <c r="H999" s="118"/>
      <c r="I999" s="118"/>
      <c r="J999" s="118"/>
      <c r="K999" s="118"/>
      <c r="L999" s="118"/>
      <c r="M999" s="118"/>
    </row>
    <row r="1000" spans="1:13" ht="12" customHeight="1" x14ac:dyDescent="0.3">
      <c r="A1000" s="118"/>
      <c r="G1000" s="118"/>
      <c r="H1000" s="118"/>
      <c r="I1000" s="118"/>
      <c r="J1000" s="118"/>
      <c r="K1000" s="118"/>
      <c r="L1000" s="118"/>
      <c r="M1000" s="118"/>
    </row>
  </sheetData>
  <sheetProtection algorithmName="SHA-512" hashValue="jLon2rvsmPvkdMR8v1IJel/sQ19qbZmVwpf33OIxJ7aqGsmyfqEMwE1YO9chek8pA61zKv541EfEZu093Qx6Hg==" saltValue="vn6WCC48ARlBhj2h/BomMQ==" spinCount="100000" sheet="1" objects="1" scenarios="1"/>
  <mergeCells count="4">
    <mergeCell ref="B2:H2"/>
    <mergeCell ref="I2:K2"/>
    <mergeCell ref="L2:N2"/>
    <mergeCell ref="O2:P2"/>
  </mergeCells>
  <pageMargins left="0.70866141732283472" right="0.70866141732283472" top="1.3779527559055118" bottom="0.74803149606299213" header="0" footer="0"/>
  <pageSetup paperSize="9" scale="133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AJ1005"/>
  <sheetViews>
    <sheetView workbookViewId="0"/>
  </sheetViews>
  <sheetFormatPr baseColWidth="10" defaultColWidth="14.3984375" defaultRowHeight="15" customHeight="1" outlineLevelCol="1" x14ac:dyDescent="0.3"/>
  <cols>
    <col min="1" max="1" width="26.8984375" customWidth="1"/>
    <col min="2" max="6" width="12.8984375" hidden="1" customWidth="1" outlineLevel="1"/>
    <col min="7" max="7" width="11" hidden="1" customWidth="1" outlineLevel="1"/>
    <col min="8" max="8" width="11" customWidth="1" collapsed="1"/>
    <col min="9" max="9" width="13.69921875" customWidth="1"/>
    <col min="10" max="10" width="11.3984375" customWidth="1"/>
    <col min="11" max="11" width="11.296875" customWidth="1"/>
    <col min="12" max="12" width="10.8984375" customWidth="1"/>
    <col min="13" max="13" width="11.296875" customWidth="1"/>
    <col min="14" max="15" width="10.8984375" customWidth="1"/>
    <col min="16" max="16" width="11.8984375" customWidth="1"/>
    <col min="17" max="17" width="56.3984375" customWidth="1"/>
    <col min="18" max="18" width="10.59765625" customWidth="1"/>
    <col min="19" max="19" width="16.8984375" customWidth="1"/>
    <col min="20" max="20" width="10.59765625" customWidth="1"/>
    <col min="21" max="21" width="16.59765625" customWidth="1"/>
    <col min="22" max="22" width="8.59765625" customWidth="1"/>
    <col min="23" max="23" width="8.3984375" customWidth="1"/>
    <col min="24" max="24" width="7.3984375" customWidth="1"/>
    <col min="25" max="25" width="17.3984375" customWidth="1"/>
    <col min="26" max="26" width="6.3984375" customWidth="1"/>
    <col min="27" max="27" width="47.09765625" customWidth="1"/>
    <col min="28" max="36" width="10.8984375" customWidth="1"/>
  </cols>
  <sheetData>
    <row r="1" spans="1:36" ht="12.75" customHeight="1" x14ac:dyDescent="0.3">
      <c r="A1" s="707" t="s">
        <v>532</v>
      </c>
      <c r="B1" s="9"/>
      <c r="C1" s="9"/>
      <c r="D1" s="9"/>
      <c r="E1" s="9"/>
      <c r="F1" s="9"/>
      <c r="G1" s="708"/>
      <c r="H1" s="11" t="s">
        <v>533</v>
      </c>
      <c r="I1" s="970" t="s">
        <v>534</v>
      </c>
      <c r="J1" s="960"/>
      <c r="K1" s="958"/>
      <c r="L1" s="971" t="s">
        <v>535</v>
      </c>
      <c r="M1" s="951"/>
      <c r="N1" s="951"/>
      <c r="O1" s="9"/>
      <c r="P1" s="9"/>
      <c r="Q1" s="709" t="s">
        <v>536</v>
      </c>
      <c r="R1" s="970" t="s">
        <v>534</v>
      </c>
      <c r="S1" s="960"/>
      <c r="T1" s="958"/>
      <c r="U1" s="970" t="s">
        <v>535</v>
      </c>
      <c r="V1" s="960"/>
      <c r="W1" s="95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2.75" customHeight="1" x14ac:dyDescent="0.3">
      <c r="A2" s="707" t="s">
        <v>537</v>
      </c>
      <c r="B2" s="710">
        <v>2016</v>
      </c>
      <c r="C2" s="710">
        <v>2017</v>
      </c>
      <c r="D2" s="710">
        <v>2018</v>
      </c>
      <c r="E2" s="710">
        <v>2019</v>
      </c>
      <c r="F2" s="710">
        <v>2020</v>
      </c>
      <c r="G2" s="710">
        <v>2021</v>
      </c>
      <c r="H2" s="711" t="s">
        <v>538</v>
      </c>
      <c r="I2" s="712" t="s">
        <v>539</v>
      </c>
      <c r="J2" s="713" t="s">
        <v>455</v>
      </c>
      <c r="K2" s="713" t="s">
        <v>540</v>
      </c>
      <c r="L2" s="712" t="s">
        <v>539</v>
      </c>
      <c r="M2" s="713" t="s">
        <v>455</v>
      </c>
      <c r="N2" s="713" t="s">
        <v>540</v>
      </c>
      <c r="O2" s="714" t="s">
        <v>541</v>
      </c>
      <c r="P2" s="707" t="s">
        <v>151</v>
      </c>
      <c r="Q2" s="9"/>
      <c r="R2" s="712" t="s">
        <v>539</v>
      </c>
      <c r="S2" s="713" t="s">
        <v>455</v>
      </c>
      <c r="T2" s="713" t="s">
        <v>540</v>
      </c>
      <c r="U2" s="712" t="s">
        <v>539</v>
      </c>
      <c r="V2" s="713" t="s">
        <v>455</v>
      </c>
      <c r="W2" s="715" t="s">
        <v>540</v>
      </c>
      <c r="X2" s="716" t="s">
        <v>541</v>
      </c>
      <c r="Y2" s="707" t="s">
        <v>151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12.75" customHeight="1" x14ac:dyDescent="0.3">
      <c r="A3" s="717" t="s">
        <v>542</v>
      </c>
      <c r="B3" s="718"/>
      <c r="C3" s="718"/>
      <c r="D3" s="718"/>
      <c r="E3" s="718"/>
      <c r="F3" s="718"/>
      <c r="G3" s="718"/>
      <c r="H3" s="718"/>
      <c r="I3" s="719"/>
      <c r="J3" s="720"/>
      <c r="K3" s="720"/>
      <c r="L3" s="719"/>
      <c r="M3" s="720"/>
      <c r="N3" s="721"/>
      <c r="O3" s="722"/>
      <c r="P3" s="723"/>
      <c r="Q3" s="9"/>
      <c r="R3" s="719"/>
      <c r="S3" s="720"/>
      <c r="T3" s="720"/>
      <c r="U3" s="719"/>
      <c r="V3" s="720"/>
      <c r="W3" s="721"/>
      <c r="X3" s="722"/>
      <c r="Y3" s="723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.75" customHeight="1" x14ac:dyDescent="0.3">
      <c r="A4" s="39" t="s">
        <v>543</v>
      </c>
      <c r="B4" s="18">
        <v>1515</v>
      </c>
      <c r="C4" s="18">
        <v>1445</v>
      </c>
      <c r="D4" s="18">
        <v>1445</v>
      </c>
      <c r="E4" s="18">
        <v>1445</v>
      </c>
      <c r="F4" s="18">
        <v>1520</v>
      </c>
      <c r="G4" s="18">
        <v>1490</v>
      </c>
      <c r="H4" s="18">
        <v>615</v>
      </c>
      <c r="I4" s="64">
        <v>10</v>
      </c>
      <c r="J4" s="18">
        <f>J11-J5-J6-J7</f>
        <v>10</v>
      </c>
      <c r="K4" s="18">
        <f t="shared" ref="K4:K7" si="0">J4*$H4</f>
        <v>6150</v>
      </c>
      <c r="L4" s="64">
        <v>28</v>
      </c>
      <c r="M4" s="18">
        <f>M11-M5-M6-M7</f>
        <v>28</v>
      </c>
      <c r="N4" s="225">
        <f t="shared" ref="N4:N7" si="1">M4*$H4</f>
        <v>17220</v>
      </c>
      <c r="O4" s="64">
        <f t="shared" ref="O4:O7" si="2">M4-J4</f>
        <v>18</v>
      </c>
      <c r="P4" s="225">
        <f t="shared" ref="P4:P7" si="3">K4+N4</f>
        <v>23370</v>
      </c>
      <c r="Q4" s="9"/>
      <c r="R4" s="64">
        <v>13</v>
      </c>
      <c r="S4" s="18">
        <f>R4</f>
        <v>13</v>
      </c>
      <c r="T4" s="18">
        <f t="shared" ref="T4:T7" si="4">S4*$H4</f>
        <v>7995</v>
      </c>
      <c r="U4" s="64">
        <f>R4+ 25</f>
        <v>38</v>
      </c>
      <c r="V4" s="18">
        <f>U4</f>
        <v>38</v>
      </c>
      <c r="W4" s="225">
        <f t="shared" ref="W4:W7" si="5">V4*$H4</f>
        <v>23370</v>
      </c>
      <c r="X4" s="64">
        <f t="shared" ref="X4:X7" si="6">V4-S4</f>
        <v>25</v>
      </c>
      <c r="Y4" s="225">
        <f t="shared" ref="Y4:Y7" si="7">T4+W4</f>
        <v>31365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12.75" customHeight="1" x14ac:dyDescent="0.3">
      <c r="A5" s="39" t="s">
        <v>544</v>
      </c>
      <c r="B5" s="18">
        <v>1315</v>
      </c>
      <c r="C5" s="18">
        <v>1245</v>
      </c>
      <c r="D5" s="18">
        <v>1245</v>
      </c>
      <c r="E5" s="18">
        <v>1245</v>
      </c>
      <c r="F5" s="18">
        <v>1320</v>
      </c>
      <c r="G5" s="18">
        <v>1290</v>
      </c>
      <c r="H5" s="18">
        <f>715/2</f>
        <v>357.5</v>
      </c>
      <c r="I5" s="64">
        <v>10</v>
      </c>
      <c r="J5" s="18">
        <f>2*I5</f>
        <v>20</v>
      </c>
      <c r="K5" s="18">
        <f t="shared" si="0"/>
        <v>7150</v>
      </c>
      <c r="L5" s="64">
        <v>22</v>
      </c>
      <c r="M5" s="18">
        <f>2*L5</f>
        <v>44</v>
      </c>
      <c r="N5" s="225">
        <f t="shared" si="1"/>
        <v>15730</v>
      </c>
      <c r="O5" s="64">
        <f t="shared" si="2"/>
        <v>24</v>
      </c>
      <c r="P5" s="225">
        <f t="shared" si="3"/>
        <v>22880</v>
      </c>
      <c r="Q5" s="9"/>
      <c r="R5" s="64">
        <v>14</v>
      </c>
      <c r="S5" s="18">
        <f>2*R5</f>
        <v>28</v>
      </c>
      <c r="T5" s="18">
        <f t="shared" si="4"/>
        <v>10010</v>
      </c>
      <c r="U5" s="64">
        <f>20+14</f>
        <v>34</v>
      </c>
      <c r="V5" s="18">
        <f>2*U5</f>
        <v>68</v>
      </c>
      <c r="W5" s="225">
        <f t="shared" si="5"/>
        <v>24310</v>
      </c>
      <c r="X5" s="64">
        <f t="shared" si="6"/>
        <v>40</v>
      </c>
      <c r="Y5" s="225">
        <f t="shared" si="7"/>
        <v>34320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2.75" customHeight="1" x14ac:dyDescent="0.3">
      <c r="A6" s="39" t="s">
        <v>545</v>
      </c>
      <c r="B6" s="18"/>
      <c r="C6" s="18">
        <v>1145</v>
      </c>
      <c r="D6" s="18">
        <v>1145</v>
      </c>
      <c r="E6" s="18">
        <v>1145</v>
      </c>
      <c r="F6" s="18">
        <v>1220</v>
      </c>
      <c r="G6" s="18">
        <v>1090</v>
      </c>
      <c r="H6" s="18">
        <f>815/3</f>
        <v>271.66666666666669</v>
      </c>
      <c r="I6" s="64">
        <v>2</v>
      </c>
      <c r="J6" s="18">
        <f>3*I6</f>
        <v>6</v>
      </c>
      <c r="K6" s="18">
        <f t="shared" si="0"/>
        <v>1630</v>
      </c>
      <c r="L6" s="64">
        <v>5</v>
      </c>
      <c r="M6" s="18">
        <f>3*L6</f>
        <v>15</v>
      </c>
      <c r="N6" s="225">
        <f t="shared" si="1"/>
        <v>4075.0000000000005</v>
      </c>
      <c r="O6" s="64">
        <f t="shared" si="2"/>
        <v>9</v>
      </c>
      <c r="P6" s="225">
        <f t="shared" si="3"/>
        <v>5705</v>
      </c>
      <c r="Q6" s="9"/>
      <c r="R6" s="64">
        <v>3</v>
      </c>
      <c r="S6" s="18">
        <f>3*R6</f>
        <v>9</v>
      </c>
      <c r="T6" s="18">
        <f t="shared" si="4"/>
        <v>2445</v>
      </c>
      <c r="U6" s="64">
        <f t="shared" ref="U6:U7" si="8">R6+5</f>
        <v>8</v>
      </c>
      <c r="V6" s="18">
        <f>3*U6</f>
        <v>24</v>
      </c>
      <c r="W6" s="225">
        <f t="shared" si="5"/>
        <v>6520</v>
      </c>
      <c r="X6" s="64">
        <f t="shared" si="6"/>
        <v>15</v>
      </c>
      <c r="Y6" s="225">
        <f t="shared" si="7"/>
        <v>8965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2.75" customHeight="1" x14ac:dyDescent="0.3">
      <c r="A7" s="39" t="s">
        <v>546</v>
      </c>
      <c r="B7" s="18">
        <v>1015</v>
      </c>
      <c r="C7" s="18">
        <v>1045</v>
      </c>
      <c r="D7" s="18">
        <v>1045</v>
      </c>
      <c r="E7" s="18">
        <v>1045</v>
      </c>
      <c r="F7" s="18">
        <v>1120</v>
      </c>
      <c r="G7" s="18">
        <v>890</v>
      </c>
      <c r="H7" s="18">
        <f>915/4</f>
        <v>228.75</v>
      </c>
      <c r="I7" s="64">
        <v>2</v>
      </c>
      <c r="J7" s="18">
        <f>4*I7</f>
        <v>8</v>
      </c>
      <c r="K7" s="18">
        <f t="shared" si="0"/>
        <v>1830</v>
      </c>
      <c r="L7" s="64">
        <v>4</v>
      </c>
      <c r="M7" s="18">
        <f>4*L7</f>
        <v>16</v>
      </c>
      <c r="N7" s="225">
        <f t="shared" si="1"/>
        <v>3660</v>
      </c>
      <c r="O7" s="18">
        <f t="shared" si="2"/>
        <v>8</v>
      </c>
      <c r="P7" s="225">
        <f t="shared" si="3"/>
        <v>5490</v>
      </c>
      <c r="Q7" s="9"/>
      <c r="R7" s="64">
        <v>2</v>
      </c>
      <c r="S7" s="18">
        <f>4*R7</f>
        <v>8</v>
      </c>
      <c r="T7" s="18">
        <f t="shared" si="4"/>
        <v>1830</v>
      </c>
      <c r="U7" s="64">
        <f t="shared" si="8"/>
        <v>7</v>
      </c>
      <c r="V7" s="18">
        <f>4*U7</f>
        <v>28</v>
      </c>
      <c r="W7" s="225">
        <f t="shared" si="5"/>
        <v>6405</v>
      </c>
      <c r="X7" s="18">
        <f t="shared" si="6"/>
        <v>20</v>
      </c>
      <c r="Y7" s="225">
        <f t="shared" si="7"/>
        <v>8235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2.75" customHeight="1" x14ac:dyDescent="0.3">
      <c r="A8" s="9"/>
      <c r="B8" s="9"/>
      <c r="C8" s="9"/>
      <c r="D8" s="9"/>
      <c r="E8" s="9"/>
      <c r="F8" s="9"/>
      <c r="G8" s="9"/>
      <c r="H8" s="306"/>
      <c r="I8" s="9"/>
      <c r="J8" s="9"/>
      <c r="K8" s="306"/>
      <c r="L8" s="9"/>
      <c r="M8" s="9"/>
      <c r="N8" s="306"/>
      <c r="O8" s="9"/>
      <c r="P8" s="306"/>
      <c r="Q8" s="9"/>
      <c r="R8" s="223"/>
      <c r="S8" s="9"/>
      <c r="T8" s="306"/>
      <c r="U8" s="9"/>
      <c r="V8" s="9"/>
      <c r="W8" s="306"/>
      <c r="X8" s="9"/>
      <c r="Y8" s="306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2.75" customHeight="1" x14ac:dyDescent="0.3">
      <c r="A9" s="39" t="s">
        <v>547</v>
      </c>
      <c r="B9" s="18">
        <v>585</v>
      </c>
      <c r="C9" s="18">
        <v>595</v>
      </c>
      <c r="D9" s="18">
        <v>595</v>
      </c>
      <c r="E9" s="18">
        <v>595</v>
      </c>
      <c r="F9" s="18">
        <v>605</v>
      </c>
      <c r="G9" s="18">
        <v>595</v>
      </c>
      <c r="H9" s="18">
        <v>555</v>
      </c>
      <c r="I9" s="64"/>
      <c r="J9" s="9"/>
      <c r="K9" s="225"/>
      <c r="L9" s="724"/>
      <c r="M9" s="18">
        <f>2*M11</f>
        <v>206</v>
      </c>
      <c r="N9" s="225">
        <f t="shared" ref="N9:N10" si="9">M9*$H9</f>
        <v>114330</v>
      </c>
      <c r="O9" s="64"/>
      <c r="P9" s="225">
        <f t="shared" ref="P9:P10" si="10">K9+N9</f>
        <v>114330</v>
      </c>
      <c r="Q9" s="9"/>
      <c r="R9" s="64"/>
      <c r="S9" s="9"/>
      <c r="T9" s="225"/>
      <c r="U9" s="724"/>
      <c r="V9" s="18">
        <v>200</v>
      </c>
      <c r="W9" s="225">
        <f t="shared" ref="W9:W10" si="11">V9*$H9</f>
        <v>111000</v>
      </c>
      <c r="X9" s="64"/>
      <c r="Y9" s="225">
        <f t="shared" ref="Y9:Y10" si="12">T9+W9</f>
        <v>111000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2.75" customHeight="1" x14ac:dyDescent="0.3">
      <c r="A10" s="39" t="s">
        <v>548</v>
      </c>
      <c r="B10" s="18"/>
      <c r="C10" s="18"/>
      <c r="D10" s="18"/>
      <c r="E10" s="18"/>
      <c r="F10" s="18"/>
      <c r="G10" s="18"/>
      <c r="H10" s="18">
        <v>400</v>
      </c>
      <c r="I10" s="64"/>
      <c r="J10" s="18">
        <f>J11-5</f>
        <v>39</v>
      </c>
      <c r="K10" s="225">
        <f>H10*J10</f>
        <v>15600</v>
      </c>
      <c r="L10" s="724"/>
      <c r="M10" s="18">
        <f>M11</f>
        <v>103</v>
      </c>
      <c r="N10" s="225">
        <f t="shared" si="9"/>
        <v>41200</v>
      </c>
      <c r="O10" s="64"/>
      <c r="P10" s="225">
        <f t="shared" si="10"/>
        <v>56800</v>
      </c>
      <c r="Q10" s="9"/>
      <c r="R10" s="64"/>
      <c r="S10" s="18">
        <f>S11</f>
        <v>58</v>
      </c>
      <c r="T10" s="225">
        <f>$H10*S10</f>
        <v>23200</v>
      </c>
      <c r="U10" s="724"/>
      <c r="V10" s="18">
        <v>100</v>
      </c>
      <c r="W10" s="225">
        <f t="shared" si="11"/>
        <v>40000</v>
      </c>
      <c r="X10" s="64"/>
      <c r="Y10" s="225">
        <f t="shared" si="12"/>
        <v>63200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2.75" customHeight="1" x14ac:dyDescent="0.3">
      <c r="A11" s="11" t="s">
        <v>151</v>
      </c>
      <c r="B11" s="12"/>
      <c r="C11" s="12"/>
      <c r="D11" s="12"/>
      <c r="E11" s="12"/>
      <c r="F11" s="12"/>
      <c r="G11" s="12"/>
      <c r="H11" s="12"/>
      <c r="I11" s="12"/>
      <c r="J11" s="60">
        <f>H67</f>
        <v>44</v>
      </c>
      <c r="K11" s="60">
        <f>SUM(K4:K7)</f>
        <v>16760</v>
      </c>
      <c r="L11" s="60"/>
      <c r="M11" s="60">
        <f>J67</f>
        <v>103</v>
      </c>
      <c r="N11" s="60">
        <f t="shared" ref="N11:O11" si="13">SUM(N4:N7)</f>
        <v>40685</v>
      </c>
      <c r="O11" s="60">
        <f t="shared" si="13"/>
        <v>59</v>
      </c>
      <c r="P11" s="604">
        <f>SUM(P4:P10)</f>
        <v>228575</v>
      </c>
      <c r="Q11" s="9"/>
      <c r="R11" s="11"/>
      <c r="S11" s="60">
        <f>SUM(S4:S7)</f>
        <v>58</v>
      </c>
      <c r="T11" s="60">
        <f>SUM(T4:T7)</f>
        <v>22280</v>
      </c>
      <c r="U11" s="60"/>
      <c r="V11" s="60">
        <f>SUM(V4:V7)</f>
        <v>158</v>
      </c>
      <c r="W11" s="604">
        <f t="shared" ref="W11:X11" si="14">SUM(W4:W7)</f>
        <v>60605</v>
      </c>
      <c r="X11" s="725">
        <f t="shared" si="14"/>
        <v>100</v>
      </c>
      <c r="Y11" s="604">
        <f>SUM(Y4:Y10)</f>
        <v>257085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2.75" customHeight="1" x14ac:dyDescent="0.3">
      <c r="A12" s="39"/>
      <c r="B12" s="18"/>
      <c r="C12" s="18"/>
      <c r="D12" s="18"/>
      <c r="E12" s="18"/>
      <c r="F12" s="18"/>
      <c r="G12" s="18"/>
      <c r="H12" s="18"/>
      <c r="I12" s="113"/>
      <c r="J12" s="28"/>
      <c r="K12" s="726"/>
      <c r="L12" s="727"/>
      <c r="M12" s="728"/>
      <c r="N12" s="728"/>
      <c r="O12" s="312"/>
      <c r="P12" s="726"/>
      <c r="Q12" s="9"/>
      <c r="R12" s="113"/>
      <c r="S12" s="28"/>
      <c r="T12" s="726"/>
      <c r="U12" s="727"/>
      <c r="V12" s="728"/>
      <c r="W12" s="726"/>
      <c r="X12" s="312"/>
      <c r="Y12" s="726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2.75" customHeight="1" x14ac:dyDescent="0.3">
      <c r="A13" s="729" t="s">
        <v>549</v>
      </c>
      <c r="B13" s="729"/>
      <c r="C13" s="729"/>
      <c r="D13" s="729"/>
      <c r="E13" s="729"/>
      <c r="F13" s="729"/>
      <c r="G13" s="729"/>
      <c r="H13" s="729"/>
      <c r="I13" s="730"/>
      <c r="J13" s="729"/>
      <c r="K13" s="731"/>
      <c r="L13" s="729"/>
      <c r="M13" s="729"/>
      <c r="N13" s="729"/>
      <c r="O13" s="730"/>
      <c r="P13" s="731"/>
      <c r="Q13" s="24"/>
      <c r="R13" s="730"/>
      <c r="S13" s="729"/>
      <c r="T13" s="731"/>
      <c r="U13" s="729"/>
      <c r="V13" s="729"/>
      <c r="W13" s="731"/>
      <c r="X13" s="730"/>
      <c r="Y13" s="731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12.75" customHeight="1" x14ac:dyDescent="0.3">
      <c r="A14" s="39" t="s">
        <v>550</v>
      </c>
      <c r="B14" s="18"/>
      <c r="C14" s="18"/>
      <c r="D14" s="18"/>
      <c r="E14" s="18"/>
      <c r="F14" s="18">
        <v>6000</v>
      </c>
      <c r="G14" s="18">
        <v>6000</v>
      </c>
      <c r="H14" s="18"/>
      <c r="I14" s="64"/>
      <c r="J14" s="9"/>
      <c r="K14" s="306"/>
      <c r="L14" s="9"/>
      <c r="M14" s="18"/>
      <c r="N14" s="9"/>
      <c r="O14" s="223"/>
      <c r="P14" s="229">
        <f t="shared" ref="P14:P19" si="15">H14</f>
        <v>0</v>
      </c>
      <c r="Q14" s="9"/>
      <c r="R14" s="64"/>
      <c r="S14" s="9"/>
      <c r="T14" s="306"/>
      <c r="U14" s="9"/>
      <c r="V14" s="18"/>
      <c r="W14" s="306"/>
      <c r="X14" s="223"/>
      <c r="Y14" s="229">
        <f t="shared" ref="Y14:Y16" si="16">Q14</f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2.75" customHeight="1" x14ac:dyDescent="0.3">
      <c r="A15" s="39" t="s">
        <v>551</v>
      </c>
      <c r="B15" s="18"/>
      <c r="C15" s="18"/>
      <c r="D15" s="18"/>
      <c r="E15" s="18"/>
      <c r="F15" s="18">
        <v>3000</v>
      </c>
      <c r="G15" s="18">
        <v>20800</v>
      </c>
      <c r="H15" s="18"/>
      <c r="I15" s="64"/>
      <c r="J15" s="9"/>
      <c r="K15" s="306"/>
      <c r="L15" s="9"/>
      <c r="M15" s="9"/>
      <c r="N15" s="9"/>
      <c r="O15" s="223"/>
      <c r="P15" s="229">
        <f t="shared" si="15"/>
        <v>0</v>
      </c>
      <c r="Q15" s="9"/>
      <c r="R15" s="64"/>
      <c r="S15" s="9"/>
      <c r="T15" s="306"/>
      <c r="U15" s="9"/>
      <c r="V15" s="9"/>
      <c r="W15" s="306"/>
      <c r="X15" s="223"/>
      <c r="Y15" s="229">
        <f t="shared" si="16"/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2.75" customHeight="1" x14ac:dyDescent="0.3">
      <c r="A16" s="39" t="s">
        <v>552</v>
      </c>
      <c r="B16" s="18"/>
      <c r="C16" s="18"/>
      <c r="D16" s="18"/>
      <c r="E16" s="18"/>
      <c r="F16" s="18">
        <v>1500</v>
      </c>
      <c r="G16" s="18">
        <v>20800</v>
      </c>
      <c r="H16" s="18"/>
      <c r="I16" s="64"/>
      <c r="J16" s="9"/>
      <c r="K16" s="306"/>
      <c r="L16" s="9"/>
      <c r="M16" s="9"/>
      <c r="N16" s="9"/>
      <c r="O16" s="223"/>
      <c r="P16" s="229">
        <f t="shared" si="15"/>
        <v>0</v>
      </c>
      <c r="Q16" s="9"/>
      <c r="R16" s="64"/>
      <c r="S16" s="9"/>
      <c r="T16" s="306"/>
      <c r="U16" s="9"/>
      <c r="V16" s="9"/>
      <c r="W16" s="306"/>
      <c r="X16" s="223"/>
      <c r="Y16" s="229">
        <f t="shared" si="16"/>
        <v>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2.75" customHeight="1" x14ac:dyDescent="0.3">
      <c r="A17" s="39" t="s">
        <v>553</v>
      </c>
      <c r="B17" s="18"/>
      <c r="C17" s="18"/>
      <c r="D17" s="18"/>
      <c r="E17" s="18"/>
      <c r="F17" s="18"/>
      <c r="G17" s="18"/>
      <c r="H17" s="18">
        <f>2*2*10000</f>
        <v>40000</v>
      </c>
      <c r="I17" s="64"/>
      <c r="J17" s="9"/>
      <c r="K17" s="306"/>
      <c r="L17" s="9"/>
      <c r="M17" s="9"/>
      <c r="N17" s="9"/>
      <c r="O17" s="223"/>
      <c r="P17" s="229">
        <f t="shared" si="15"/>
        <v>40000</v>
      </c>
      <c r="Q17" s="9"/>
      <c r="R17" s="64"/>
      <c r="S17" s="9"/>
      <c r="T17" s="306"/>
      <c r="U17" s="9"/>
      <c r="V17" s="9"/>
      <c r="W17" s="306"/>
      <c r="X17" s="223"/>
      <c r="Y17" s="229">
        <v>40000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2.75" customHeight="1" x14ac:dyDescent="0.3">
      <c r="A18" s="39" t="s">
        <v>554</v>
      </c>
      <c r="B18" s="18"/>
      <c r="C18" s="18"/>
      <c r="D18" s="18"/>
      <c r="E18" s="18"/>
      <c r="F18" s="18"/>
      <c r="G18" s="18"/>
      <c r="H18" s="18">
        <f>4*2*5000</f>
        <v>40000</v>
      </c>
      <c r="I18" s="64"/>
      <c r="J18" s="9"/>
      <c r="K18" s="306"/>
      <c r="L18" s="9"/>
      <c r="M18" s="9"/>
      <c r="N18" s="9"/>
      <c r="O18" s="223"/>
      <c r="P18" s="229">
        <f t="shared" si="15"/>
        <v>40000</v>
      </c>
      <c r="Q18" s="9"/>
      <c r="R18" s="64"/>
      <c r="S18" s="9"/>
      <c r="T18" s="306"/>
      <c r="U18" s="9"/>
      <c r="V18" s="9"/>
      <c r="W18" s="306"/>
      <c r="X18" s="223"/>
      <c r="Y18" s="229">
        <v>40000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2.75" customHeight="1" x14ac:dyDescent="0.3">
      <c r="A19" s="39"/>
      <c r="B19" s="18"/>
      <c r="C19" s="18"/>
      <c r="D19" s="18"/>
      <c r="E19" s="18"/>
      <c r="F19" s="18"/>
      <c r="G19" s="18"/>
      <c r="H19" s="18"/>
      <c r="I19" s="732"/>
      <c r="J19" s="733"/>
      <c r="K19" s="734"/>
      <c r="L19" s="9"/>
      <c r="M19" s="9"/>
      <c r="N19" s="9"/>
      <c r="O19" s="223"/>
      <c r="P19" s="229">
        <f t="shared" si="15"/>
        <v>0</v>
      </c>
      <c r="Q19" s="9"/>
      <c r="R19" s="732"/>
      <c r="S19" s="733"/>
      <c r="T19" s="734"/>
      <c r="U19" s="9"/>
      <c r="V19" s="9"/>
      <c r="W19" s="306"/>
      <c r="X19" s="223"/>
      <c r="Y19" s="229">
        <f>Q19</f>
        <v>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2.75" customHeight="1" x14ac:dyDescent="0.3">
      <c r="A20" s="11" t="s">
        <v>151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604">
        <f>SUM(P14:P19)</f>
        <v>80000</v>
      </c>
      <c r="Q20" s="9"/>
      <c r="R20" s="11"/>
      <c r="S20" s="12"/>
      <c r="T20" s="12"/>
      <c r="U20" s="12"/>
      <c r="V20" s="12"/>
      <c r="W20" s="735"/>
      <c r="X20" s="736"/>
      <c r="Y20" s="604">
        <f>SUM(Y14:Y19)</f>
        <v>80000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2.75" customHeight="1" x14ac:dyDescent="0.3">
      <c r="A21" s="418" t="s">
        <v>520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>
        <f>P11+P20</f>
        <v>308575</v>
      </c>
      <c r="Q21" s="9"/>
      <c r="R21" s="418"/>
      <c r="S21" s="418"/>
      <c r="T21" s="418"/>
      <c r="U21" s="418"/>
      <c r="V21" s="418"/>
      <c r="W21" s="418"/>
      <c r="X21" s="418"/>
      <c r="Y21" s="418">
        <f>Y11+Y20</f>
        <v>337085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2.75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2.75" customHeight="1" x14ac:dyDescent="0.3">
      <c r="A23" s="11" t="s">
        <v>555</v>
      </c>
      <c r="B23" s="12"/>
      <c r="C23" s="12"/>
      <c r="D23" s="12"/>
      <c r="E23" s="12"/>
      <c r="F23" s="12"/>
      <c r="G23" s="737"/>
      <c r="H23" s="73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2.75" customHeight="1" x14ac:dyDescent="0.3">
      <c r="A24" s="223" t="s">
        <v>556</v>
      </c>
      <c r="B24" s="9"/>
      <c r="C24" s="9"/>
      <c r="D24" s="9"/>
      <c r="E24" s="9"/>
      <c r="F24" s="9"/>
      <c r="G24" s="18"/>
      <c r="H24" s="225">
        <f>J11+M11</f>
        <v>147</v>
      </c>
      <c r="I24" s="9"/>
      <c r="J24" s="9"/>
      <c r="K24" s="1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2.75" customHeight="1" x14ac:dyDescent="0.3">
      <c r="A25" s="223" t="s">
        <v>431</v>
      </c>
      <c r="B25" s="9"/>
      <c r="C25" s="9"/>
      <c r="D25" s="9"/>
      <c r="E25" s="9"/>
      <c r="F25" s="9"/>
      <c r="G25" s="18"/>
      <c r="H25" s="225">
        <f>M11</f>
        <v>103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2.75" customHeight="1" x14ac:dyDescent="0.3">
      <c r="A26" s="738" t="s">
        <v>557</v>
      </c>
      <c r="B26" s="739"/>
      <c r="C26" s="739"/>
      <c r="D26" s="739"/>
      <c r="E26" s="739"/>
      <c r="F26" s="739"/>
      <c r="G26" s="175"/>
      <c r="H26" s="740">
        <f>SUM(P4:P7)/H24</f>
        <v>390.78231292517006</v>
      </c>
      <c r="I26" s="9"/>
      <c r="J26" s="739"/>
      <c r="K26" s="73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2.75" customHeight="1" x14ac:dyDescent="0.3">
      <c r="A27" s="738" t="s">
        <v>558</v>
      </c>
      <c r="B27" s="9"/>
      <c r="C27" s="9"/>
      <c r="D27" s="9"/>
      <c r="E27" s="9"/>
      <c r="F27" s="9"/>
      <c r="G27" s="62"/>
      <c r="H27" s="741">
        <f t="shared" ref="H27:H28" si="17">H9</f>
        <v>555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2.75" customHeight="1" x14ac:dyDescent="0.3">
      <c r="A28" s="223" t="s">
        <v>559</v>
      </c>
      <c r="B28" s="9"/>
      <c r="C28" s="9"/>
      <c r="D28" s="9"/>
      <c r="E28" s="9"/>
      <c r="F28" s="9"/>
      <c r="G28" s="62"/>
      <c r="H28" s="741">
        <f t="shared" si="17"/>
        <v>400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2.75" customHeight="1" x14ac:dyDescent="0.3">
      <c r="A29" s="223" t="s">
        <v>560</v>
      </c>
      <c r="B29" s="9"/>
      <c r="C29" s="9"/>
      <c r="D29" s="9"/>
      <c r="E29" s="9"/>
      <c r="F29" s="9"/>
      <c r="G29" s="62"/>
      <c r="H29" s="741">
        <f>2*H26+2*H27+2*H28</f>
        <v>2691.5646258503402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2.75" customHeight="1" x14ac:dyDescent="0.3">
      <c r="A30" s="223" t="s">
        <v>561</v>
      </c>
      <c r="B30" s="9"/>
      <c r="C30" s="9"/>
      <c r="D30" s="9"/>
      <c r="E30" s="9"/>
      <c r="F30" s="9"/>
      <c r="G30" s="62"/>
      <c r="H30" s="741">
        <f>H26+2*H27+H28</f>
        <v>1900.7823129251701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2.75" customHeight="1" x14ac:dyDescent="0.3">
      <c r="A31" s="223" t="s">
        <v>562</v>
      </c>
      <c r="B31" s="9"/>
      <c r="C31" s="9"/>
      <c r="D31" s="9"/>
      <c r="E31" s="9"/>
      <c r="F31" s="9"/>
      <c r="G31" s="62"/>
      <c r="H31" s="741">
        <f>P20/H25</f>
        <v>776.69902912621365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2.75" customHeight="1" x14ac:dyDescent="0.3">
      <c r="A32" s="389" t="s">
        <v>563</v>
      </c>
      <c r="B32" s="733"/>
      <c r="C32" s="733"/>
      <c r="D32" s="733"/>
      <c r="E32" s="733"/>
      <c r="F32" s="733"/>
      <c r="G32" s="742"/>
      <c r="H32" s="743">
        <v>1000</v>
      </c>
      <c r="I32" s="9"/>
      <c r="J32" s="9"/>
      <c r="K32" s="9"/>
      <c r="L32" s="9"/>
      <c r="M32" s="9"/>
      <c r="N32" s="1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2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2.7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2.75" customHeight="1" x14ac:dyDescent="0.3">
      <c r="A35" s="11" t="s">
        <v>564</v>
      </c>
      <c r="B35" s="12"/>
      <c r="C35" s="12"/>
      <c r="D35" s="12"/>
      <c r="E35" s="12"/>
      <c r="F35" s="12"/>
      <c r="G35" s="744"/>
      <c r="H35" s="972" t="s">
        <v>565</v>
      </c>
      <c r="I35" s="963"/>
      <c r="J35" s="955"/>
      <c r="K35" s="972" t="s">
        <v>566</v>
      </c>
      <c r="L35" s="963"/>
      <c r="M35" s="735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2.75" customHeight="1" x14ac:dyDescent="0.3">
      <c r="A36" s="11"/>
      <c r="B36" s="12"/>
      <c r="C36" s="12"/>
      <c r="D36" s="12"/>
      <c r="E36" s="12"/>
      <c r="F36" s="12"/>
      <c r="G36" s="745"/>
      <c r="H36" s="15" t="s">
        <v>567</v>
      </c>
      <c r="I36" s="11" t="s">
        <v>568</v>
      </c>
      <c r="J36" s="735" t="s">
        <v>106</v>
      </c>
      <c r="K36" s="11" t="s">
        <v>567</v>
      </c>
      <c r="L36" s="12" t="s">
        <v>568</v>
      </c>
      <c r="M36" s="12" t="s">
        <v>106</v>
      </c>
      <c r="N36" s="15" t="s">
        <v>549</v>
      </c>
      <c r="O36" s="15" t="s">
        <v>129</v>
      </c>
      <c r="P36" s="15" t="s">
        <v>151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2.75" customHeight="1" x14ac:dyDescent="0.3">
      <c r="A37" s="338" t="s">
        <v>569</v>
      </c>
      <c r="B37" s="9"/>
      <c r="C37" s="9"/>
      <c r="D37" s="9"/>
      <c r="E37" s="9"/>
      <c r="F37" s="9"/>
      <c r="G37" s="9"/>
      <c r="H37" s="223"/>
      <c r="I37" s="18"/>
      <c r="J37" s="225"/>
      <c r="K37" s="64"/>
      <c r="L37" s="18"/>
      <c r="M37" s="18"/>
      <c r="N37" s="66"/>
      <c r="O37" s="66"/>
      <c r="P37" s="746"/>
      <c r="Q37" s="1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2.75" customHeight="1" x14ac:dyDescent="0.3">
      <c r="A38" s="747" t="s">
        <v>570</v>
      </c>
      <c r="B38" s="9"/>
      <c r="C38" s="9"/>
      <c r="D38" s="9"/>
      <c r="E38" s="9"/>
      <c r="F38" s="9"/>
      <c r="G38" s="9"/>
      <c r="H38" s="223"/>
      <c r="I38" s="9"/>
      <c r="J38" s="306"/>
      <c r="K38" s="223"/>
      <c r="L38" s="9"/>
      <c r="M38" s="9"/>
      <c r="N38" s="297"/>
      <c r="O38" s="297"/>
      <c r="P38" s="748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2.75" customHeight="1" x14ac:dyDescent="0.3">
      <c r="A39" s="39" t="s">
        <v>108</v>
      </c>
      <c r="B39" s="9"/>
      <c r="C39" s="9"/>
      <c r="D39" s="9"/>
      <c r="E39" s="9"/>
      <c r="F39" s="9"/>
      <c r="G39" s="9"/>
      <c r="H39" s="223">
        <v>4</v>
      </c>
      <c r="I39" s="9">
        <v>3</v>
      </c>
      <c r="J39" s="306">
        <f t="shared" ref="J39:J45" si="18">H39+I39</f>
        <v>7</v>
      </c>
      <c r="K39" s="749">
        <f t="shared" ref="K39:K46" si="19">H39*$H$29</f>
        <v>10766.258503401361</v>
      </c>
      <c r="L39" s="70">
        <f t="shared" ref="L39:L46" si="20">I39*$H$30</f>
        <v>5702.3469387755104</v>
      </c>
      <c r="M39" s="70">
        <f t="shared" ref="M39:M45" si="21">SUM(K39:L39)</f>
        <v>16468.605442176871</v>
      </c>
      <c r="N39" s="750">
        <f t="shared" ref="N39:N46" si="22">J39*$H$31</f>
        <v>5436.8932038834955</v>
      </c>
      <c r="O39" s="750">
        <f t="shared" ref="O39:O46" si="23">J39*$H$32</f>
        <v>7000</v>
      </c>
      <c r="P39" s="751">
        <f t="shared" ref="P39:P46" si="24">SUM(M39:O39)</f>
        <v>28905.498646060369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2.75" customHeight="1" x14ac:dyDescent="0.3">
      <c r="A40" s="39" t="s">
        <v>466</v>
      </c>
      <c r="B40" s="9"/>
      <c r="C40" s="9"/>
      <c r="D40" s="9"/>
      <c r="E40" s="9"/>
      <c r="F40" s="9"/>
      <c r="G40" s="9"/>
      <c r="H40" s="223">
        <v>2</v>
      </c>
      <c r="I40" s="9">
        <v>2</v>
      </c>
      <c r="J40" s="306">
        <f t="shared" si="18"/>
        <v>4</v>
      </c>
      <c r="K40" s="749">
        <f t="shared" si="19"/>
        <v>5383.1292517006805</v>
      </c>
      <c r="L40" s="70">
        <f t="shared" si="20"/>
        <v>3801.5646258503402</v>
      </c>
      <c r="M40" s="70">
        <f t="shared" si="21"/>
        <v>9184.6938775510207</v>
      </c>
      <c r="N40" s="750">
        <f t="shared" si="22"/>
        <v>3106.7961165048546</v>
      </c>
      <c r="O40" s="750">
        <f t="shared" si="23"/>
        <v>4000</v>
      </c>
      <c r="P40" s="751">
        <f t="shared" si="24"/>
        <v>16291.489994055875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2.75" customHeight="1" x14ac:dyDescent="0.3">
      <c r="A41" s="39" t="s">
        <v>469</v>
      </c>
      <c r="B41" s="9"/>
      <c r="C41" s="9"/>
      <c r="D41" s="9"/>
      <c r="E41" s="9"/>
      <c r="F41" s="9"/>
      <c r="G41" s="9"/>
      <c r="H41" s="223">
        <v>2</v>
      </c>
      <c r="I41" s="9">
        <v>1</v>
      </c>
      <c r="J41" s="306">
        <f t="shared" si="18"/>
        <v>3</v>
      </c>
      <c r="K41" s="749">
        <f t="shared" si="19"/>
        <v>5383.1292517006805</v>
      </c>
      <c r="L41" s="70">
        <f t="shared" si="20"/>
        <v>1900.7823129251701</v>
      </c>
      <c r="M41" s="70">
        <f t="shared" si="21"/>
        <v>7283.9115646258506</v>
      </c>
      <c r="N41" s="750">
        <f t="shared" si="22"/>
        <v>2330.0970873786409</v>
      </c>
      <c r="O41" s="750">
        <f t="shared" si="23"/>
        <v>3000</v>
      </c>
      <c r="P41" s="751">
        <f t="shared" si="24"/>
        <v>12614.008652004492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2.75" customHeight="1" x14ac:dyDescent="0.3">
      <c r="A42" s="39" t="s">
        <v>467</v>
      </c>
      <c r="B42" s="9"/>
      <c r="C42" s="9"/>
      <c r="D42" s="9"/>
      <c r="E42" s="9"/>
      <c r="F42" s="9"/>
      <c r="G42" s="9"/>
      <c r="H42" s="223">
        <v>1</v>
      </c>
      <c r="I42" s="9">
        <v>1</v>
      </c>
      <c r="J42" s="306">
        <f t="shared" si="18"/>
        <v>2</v>
      </c>
      <c r="K42" s="749">
        <f t="shared" si="19"/>
        <v>2691.5646258503402</v>
      </c>
      <c r="L42" s="70">
        <f t="shared" si="20"/>
        <v>1900.7823129251701</v>
      </c>
      <c r="M42" s="70">
        <f t="shared" si="21"/>
        <v>4592.3469387755104</v>
      </c>
      <c r="N42" s="750">
        <f t="shared" si="22"/>
        <v>1553.3980582524273</v>
      </c>
      <c r="O42" s="750">
        <f t="shared" si="23"/>
        <v>2000</v>
      </c>
      <c r="P42" s="751">
        <f t="shared" si="24"/>
        <v>8145.7449970279376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2.75" customHeight="1" x14ac:dyDescent="0.3">
      <c r="A43" s="39" t="s">
        <v>571</v>
      </c>
      <c r="B43" s="9"/>
      <c r="C43" s="9"/>
      <c r="D43" s="9"/>
      <c r="E43" s="9"/>
      <c r="F43" s="9"/>
      <c r="G43" s="9"/>
      <c r="H43" s="223">
        <v>2</v>
      </c>
      <c r="I43" s="9">
        <v>2</v>
      </c>
      <c r="J43" s="306">
        <f t="shared" si="18"/>
        <v>4</v>
      </c>
      <c r="K43" s="749">
        <f t="shared" si="19"/>
        <v>5383.1292517006805</v>
      </c>
      <c r="L43" s="70">
        <f t="shared" si="20"/>
        <v>3801.5646258503402</v>
      </c>
      <c r="M43" s="70">
        <f t="shared" si="21"/>
        <v>9184.6938775510207</v>
      </c>
      <c r="N43" s="750">
        <f t="shared" si="22"/>
        <v>3106.7961165048546</v>
      </c>
      <c r="O43" s="750">
        <f t="shared" si="23"/>
        <v>4000</v>
      </c>
      <c r="P43" s="751">
        <f t="shared" si="24"/>
        <v>16291.489994055875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2.75" customHeight="1" x14ac:dyDescent="0.3">
      <c r="A44" s="39" t="s">
        <v>464</v>
      </c>
      <c r="B44" s="9"/>
      <c r="C44" s="9"/>
      <c r="D44" s="9"/>
      <c r="E44" s="9"/>
      <c r="F44" s="9"/>
      <c r="G44" s="9"/>
      <c r="H44" s="223">
        <v>5</v>
      </c>
      <c r="I44" s="18"/>
      <c r="J44" s="225">
        <f t="shared" si="18"/>
        <v>5</v>
      </c>
      <c r="K44" s="749">
        <f t="shared" si="19"/>
        <v>13457.823129251701</v>
      </c>
      <c r="L44" s="70">
        <f t="shared" si="20"/>
        <v>0</v>
      </c>
      <c r="M44" s="70">
        <f t="shared" si="21"/>
        <v>13457.823129251701</v>
      </c>
      <c r="N44" s="750">
        <f t="shared" si="22"/>
        <v>3883.4951456310682</v>
      </c>
      <c r="O44" s="750">
        <f t="shared" si="23"/>
        <v>5000</v>
      </c>
      <c r="P44" s="751">
        <f t="shared" si="24"/>
        <v>22341.318274882768</v>
      </c>
      <c r="Q44" s="18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2.75" customHeight="1" x14ac:dyDescent="0.3">
      <c r="A45" s="39" t="s">
        <v>572</v>
      </c>
      <c r="B45" s="9"/>
      <c r="C45" s="9"/>
      <c r="D45" s="9"/>
      <c r="E45" s="9"/>
      <c r="F45" s="9"/>
      <c r="G45" s="9"/>
      <c r="H45" s="223">
        <v>3</v>
      </c>
      <c r="I45" s="18">
        <v>2</v>
      </c>
      <c r="J45" s="225">
        <f t="shared" si="18"/>
        <v>5</v>
      </c>
      <c r="K45" s="749">
        <f t="shared" si="19"/>
        <v>8074.6938775510207</v>
      </c>
      <c r="L45" s="70">
        <f t="shared" si="20"/>
        <v>3801.5646258503402</v>
      </c>
      <c r="M45" s="70">
        <f t="shared" si="21"/>
        <v>11876.258503401361</v>
      </c>
      <c r="N45" s="750">
        <f t="shared" si="22"/>
        <v>3883.4951456310682</v>
      </c>
      <c r="O45" s="750">
        <f t="shared" si="23"/>
        <v>5000</v>
      </c>
      <c r="P45" s="751">
        <f t="shared" si="24"/>
        <v>20759.753649032427</v>
      </c>
      <c r="Q45" s="18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2.75" customHeight="1" x14ac:dyDescent="0.3">
      <c r="A46" s="752" t="s">
        <v>136</v>
      </c>
      <c r="B46" s="753"/>
      <c r="C46" s="753"/>
      <c r="D46" s="753"/>
      <c r="E46" s="753"/>
      <c r="F46" s="753"/>
      <c r="G46" s="754"/>
      <c r="H46" s="755">
        <f t="shared" ref="H46:J46" si="25">SUM(H39:H45)</f>
        <v>19</v>
      </c>
      <c r="I46" s="756">
        <f t="shared" si="25"/>
        <v>11</v>
      </c>
      <c r="J46" s="757">
        <f t="shared" si="25"/>
        <v>30</v>
      </c>
      <c r="K46" s="758">
        <f t="shared" si="19"/>
        <v>51139.727891156464</v>
      </c>
      <c r="L46" s="759">
        <f t="shared" si="20"/>
        <v>20908.605442176871</v>
      </c>
      <c r="M46" s="759">
        <f>K46+L46</f>
        <v>72048.333333333343</v>
      </c>
      <c r="N46" s="760">
        <f t="shared" si="22"/>
        <v>23300.970873786409</v>
      </c>
      <c r="O46" s="760">
        <f t="shared" si="23"/>
        <v>30000</v>
      </c>
      <c r="P46" s="761">
        <f t="shared" si="24"/>
        <v>125349.30420711976</v>
      </c>
      <c r="Q46" s="18" t="s">
        <v>573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ht="12.75" customHeight="1" x14ac:dyDescent="0.3">
      <c r="A47" s="762"/>
      <c r="B47" s="28"/>
      <c r="C47" s="28"/>
      <c r="D47" s="28"/>
      <c r="E47" s="28"/>
      <c r="F47" s="28"/>
      <c r="G47" s="257"/>
      <c r="H47" s="763"/>
      <c r="I47" s="257"/>
      <c r="J47" s="764"/>
      <c r="K47" s="765"/>
      <c r="L47" s="766"/>
      <c r="M47" s="766"/>
      <c r="N47" s="767"/>
      <c r="O47" s="767"/>
      <c r="P47" s="768"/>
      <c r="Q47" s="1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ht="12.75" customHeight="1" x14ac:dyDescent="0.3">
      <c r="A48" s="747" t="s">
        <v>574</v>
      </c>
      <c r="B48" s="9"/>
      <c r="C48" s="9"/>
      <c r="D48" s="9"/>
      <c r="E48" s="9"/>
      <c r="F48" s="9"/>
      <c r="G48" s="9"/>
      <c r="H48" s="223"/>
      <c r="I48" s="18"/>
      <c r="J48" s="225"/>
      <c r="K48" s="64"/>
      <c r="L48" s="18"/>
      <c r="M48" s="18"/>
      <c r="N48" s="66"/>
      <c r="O48" s="66"/>
      <c r="P48" s="746"/>
      <c r="Q48" s="1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2.75" customHeight="1" x14ac:dyDescent="0.3">
      <c r="A49" s="39" t="s">
        <v>575</v>
      </c>
      <c r="B49" s="9"/>
      <c r="C49" s="9"/>
      <c r="D49" s="9"/>
      <c r="E49" s="9"/>
      <c r="F49" s="9"/>
      <c r="G49" s="9"/>
      <c r="H49" s="223"/>
      <c r="I49" s="18">
        <v>9</v>
      </c>
      <c r="J49" s="225">
        <f>H49+I49</f>
        <v>9</v>
      </c>
      <c r="K49" s="749">
        <f t="shared" ref="K49:K50" si="26">H49*$H$29</f>
        <v>0</v>
      </c>
      <c r="L49" s="70">
        <f t="shared" ref="L49:L50" si="27">I49*$H$30</f>
        <v>17107.040816326531</v>
      </c>
      <c r="M49" s="70">
        <f>SUM(K49:L49)</f>
        <v>17107.040816326531</v>
      </c>
      <c r="N49" s="750">
        <f t="shared" ref="N49:N50" si="28">J49*$H$31</f>
        <v>6990.2912621359228</v>
      </c>
      <c r="O49" s="750">
        <f t="shared" ref="O49:O50" si="29">J49*$H$32</f>
        <v>9000</v>
      </c>
      <c r="P49" s="751">
        <f t="shared" ref="P49:P50" si="30">SUM(M49:O49)</f>
        <v>33097.332078462452</v>
      </c>
      <c r="Q49" s="1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2.75" customHeight="1" x14ac:dyDescent="0.3">
      <c r="A50" s="752" t="s">
        <v>136</v>
      </c>
      <c r="B50" s="753"/>
      <c r="C50" s="753"/>
      <c r="D50" s="753"/>
      <c r="E50" s="753"/>
      <c r="F50" s="753"/>
      <c r="G50" s="754"/>
      <c r="H50" s="755">
        <f t="shared" ref="H50:J50" si="31">SUM(H49)</f>
        <v>0</v>
      </c>
      <c r="I50" s="769">
        <f t="shared" si="31"/>
        <v>9</v>
      </c>
      <c r="J50" s="770">
        <f t="shared" si="31"/>
        <v>9</v>
      </c>
      <c r="K50" s="758">
        <f t="shared" si="26"/>
        <v>0</v>
      </c>
      <c r="L50" s="759">
        <f t="shared" si="27"/>
        <v>17107.040816326531</v>
      </c>
      <c r="M50" s="759">
        <f>K50+L50</f>
        <v>17107.040816326531</v>
      </c>
      <c r="N50" s="760">
        <f t="shared" si="28"/>
        <v>6990.2912621359228</v>
      </c>
      <c r="O50" s="760">
        <f t="shared" si="29"/>
        <v>9000</v>
      </c>
      <c r="P50" s="761">
        <f t="shared" si="30"/>
        <v>33097.332078462452</v>
      </c>
      <c r="Q50" s="18" t="s">
        <v>576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ht="12.75" customHeight="1" x14ac:dyDescent="0.3">
      <c r="A51" s="39"/>
      <c r="B51" s="9"/>
      <c r="C51" s="9"/>
      <c r="D51" s="9"/>
      <c r="E51" s="9"/>
      <c r="F51" s="9"/>
      <c r="G51" s="18"/>
      <c r="H51" s="64"/>
      <c r="I51" s="18"/>
      <c r="J51" s="225"/>
      <c r="K51" s="223"/>
      <c r="L51" s="9"/>
      <c r="M51" s="9"/>
      <c r="N51" s="297"/>
      <c r="O51" s="297"/>
      <c r="P51" s="746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2.75" customHeight="1" x14ac:dyDescent="0.3">
      <c r="A52" s="747" t="s">
        <v>577</v>
      </c>
      <c r="B52" s="9"/>
      <c r="C52" s="9"/>
      <c r="D52" s="9"/>
      <c r="E52" s="9"/>
      <c r="F52" s="9"/>
      <c r="G52" s="9"/>
      <c r="H52" s="223"/>
      <c r="I52" s="18"/>
      <c r="J52" s="225"/>
      <c r="K52" s="64"/>
      <c r="L52" s="18"/>
      <c r="M52" s="18"/>
      <c r="N52" s="66"/>
      <c r="O52" s="66"/>
      <c r="P52" s="746"/>
      <c r="Q52" s="18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2.75" customHeight="1" x14ac:dyDescent="0.3">
      <c r="A53" s="39" t="s">
        <v>578</v>
      </c>
      <c r="B53" s="9"/>
      <c r="C53" s="9"/>
      <c r="D53" s="9"/>
      <c r="E53" s="9"/>
      <c r="F53" s="9"/>
      <c r="G53" s="9"/>
      <c r="H53" s="223">
        <f>5+2</f>
        <v>7</v>
      </c>
      <c r="I53" s="18"/>
      <c r="J53" s="225">
        <f t="shared" ref="J53:J55" si="32">H53+I53</f>
        <v>7</v>
      </c>
      <c r="K53" s="749">
        <f t="shared" ref="K53:K56" si="33">H53*$H$29</f>
        <v>18840.952380952382</v>
      </c>
      <c r="L53" s="70">
        <f t="shared" ref="L53:L56" si="34">I53*$H$30</f>
        <v>0</v>
      </c>
      <c r="M53" s="70">
        <f t="shared" ref="M53:M55" si="35">SUM(K53:L53)</f>
        <v>18840.952380952382</v>
      </c>
      <c r="N53" s="750">
        <f t="shared" ref="N53:N56" si="36">J53*$H$31</f>
        <v>5436.8932038834955</v>
      </c>
      <c r="O53" s="750">
        <f t="shared" ref="O53:O56" si="37">J53*$H$32</f>
        <v>7000</v>
      </c>
      <c r="P53" s="751">
        <f t="shared" ref="P53:P56" si="38">SUM(M53:O53)</f>
        <v>31277.845584835879</v>
      </c>
      <c r="Q53" s="18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2.75" customHeight="1" x14ac:dyDescent="0.3">
      <c r="A54" s="39" t="s">
        <v>579</v>
      </c>
      <c r="B54" s="9"/>
      <c r="C54" s="9"/>
      <c r="D54" s="9"/>
      <c r="E54" s="9"/>
      <c r="F54" s="9"/>
      <c r="G54" s="9"/>
      <c r="H54" s="223"/>
      <c r="I54" s="18">
        <v>2</v>
      </c>
      <c r="J54" s="225">
        <f t="shared" si="32"/>
        <v>2</v>
      </c>
      <c r="K54" s="749">
        <f t="shared" si="33"/>
        <v>0</v>
      </c>
      <c r="L54" s="70">
        <f t="shared" si="34"/>
        <v>3801.5646258503402</v>
      </c>
      <c r="M54" s="70">
        <f t="shared" si="35"/>
        <v>3801.5646258503402</v>
      </c>
      <c r="N54" s="750">
        <f t="shared" si="36"/>
        <v>1553.3980582524273</v>
      </c>
      <c r="O54" s="750">
        <f t="shared" si="37"/>
        <v>2000</v>
      </c>
      <c r="P54" s="751">
        <f t="shared" si="38"/>
        <v>7354.9626841027675</v>
      </c>
      <c r="Q54" s="18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2.75" customHeight="1" x14ac:dyDescent="0.3">
      <c r="A55" s="39" t="s">
        <v>580</v>
      </c>
      <c r="B55" s="9"/>
      <c r="C55" s="9"/>
      <c r="D55" s="9"/>
      <c r="E55" s="9"/>
      <c r="F55" s="9"/>
      <c r="G55" s="9"/>
      <c r="H55" s="223"/>
      <c r="I55" s="18">
        <v>12</v>
      </c>
      <c r="J55" s="225">
        <f t="shared" si="32"/>
        <v>12</v>
      </c>
      <c r="K55" s="749">
        <f t="shared" si="33"/>
        <v>0</v>
      </c>
      <c r="L55" s="70">
        <f t="shared" si="34"/>
        <v>22809.387755102041</v>
      </c>
      <c r="M55" s="70">
        <f t="shared" si="35"/>
        <v>22809.387755102041</v>
      </c>
      <c r="N55" s="750">
        <f t="shared" si="36"/>
        <v>9320.3883495145637</v>
      </c>
      <c r="O55" s="750">
        <f t="shared" si="37"/>
        <v>12000</v>
      </c>
      <c r="P55" s="751">
        <f t="shared" si="38"/>
        <v>44129.776104616605</v>
      </c>
      <c r="Q55" s="18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2.75" customHeight="1" x14ac:dyDescent="0.3">
      <c r="A56" s="752" t="s">
        <v>136</v>
      </c>
      <c r="B56" s="753"/>
      <c r="C56" s="753"/>
      <c r="D56" s="753"/>
      <c r="E56" s="753"/>
      <c r="F56" s="753"/>
      <c r="G56" s="754"/>
      <c r="H56" s="755">
        <f>SUM(H53:H54)</f>
        <v>7</v>
      </c>
      <c r="I56" s="769">
        <f t="shared" ref="I56:J56" si="39">SUM(I53:I55)</f>
        <v>14</v>
      </c>
      <c r="J56" s="770">
        <f t="shared" si="39"/>
        <v>21</v>
      </c>
      <c r="K56" s="758">
        <f t="shared" si="33"/>
        <v>18840.952380952382</v>
      </c>
      <c r="L56" s="759">
        <f t="shared" si="34"/>
        <v>26610.952380952382</v>
      </c>
      <c r="M56" s="759">
        <f>K56+L56</f>
        <v>45451.904761904763</v>
      </c>
      <c r="N56" s="760">
        <f t="shared" si="36"/>
        <v>16310.679611650487</v>
      </c>
      <c r="O56" s="760">
        <f t="shared" si="37"/>
        <v>21000</v>
      </c>
      <c r="P56" s="761">
        <f t="shared" si="38"/>
        <v>82762.584373555248</v>
      </c>
      <c r="Q56" s="18"/>
      <c r="R56" s="771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ht="12.75" customHeight="1" x14ac:dyDescent="0.3">
      <c r="A57" s="39"/>
      <c r="B57" s="9"/>
      <c r="C57" s="9"/>
      <c r="D57" s="9"/>
      <c r="E57" s="9"/>
      <c r="F57" s="9"/>
      <c r="G57" s="9"/>
      <c r="H57" s="223"/>
      <c r="I57" s="18"/>
      <c r="J57" s="306"/>
      <c r="K57" s="64"/>
      <c r="L57" s="18"/>
      <c r="M57" s="18"/>
      <c r="N57" s="66"/>
      <c r="O57" s="66"/>
      <c r="P57" s="746"/>
      <c r="Q57" s="18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2.75" customHeight="1" x14ac:dyDescent="0.3">
      <c r="A58" s="772" t="s">
        <v>136</v>
      </c>
      <c r="B58" s="773"/>
      <c r="C58" s="773"/>
      <c r="D58" s="773"/>
      <c r="E58" s="773"/>
      <c r="F58" s="773"/>
      <c r="G58" s="774"/>
      <c r="H58" s="775">
        <f t="shared" ref="H58:P58" si="40">SUM(H46,H50,H56)</f>
        <v>26</v>
      </c>
      <c r="I58" s="776">
        <f t="shared" si="40"/>
        <v>34</v>
      </c>
      <c r="J58" s="777">
        <f t="shared" si="40"/>
        <v>60</v>
      </c>
      <c r="K58" s="778">
        <f t="shared" si="40"/>
        <v>69980.680272108846</v>
      </c>
      <c r="L58" s="779">
        <f t="shared" si="40"/>
        <v>64626.598639455784</v>
      </c>
      <c r="M58" s="779">
        <f t="shared" si="40"/>
        <v>134607.27891156464</v>
      </c>
      <c r="N58" s="780">
        <f t="shared" si="40"/>
        <v>46601.941747572819</v>
      </c>
      <c r="O58" s="780">
        <f t="shared" si="40"/>
        <v>60000</v>
      </c>
      <c r="P58" s="781">
        <f t="shared" si="40"/>
        <v>241209.22065913747</v>
      </c>
      <c r="Q58" s="728" t="s">
        <v>581</v>
      </c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1:36" ht="12.75" customHeight="1" x14ac:dyDescent="0.3">
      <c r="A59" s="9"/>
      <c r="B59" s="9"/>
      <c r="C59" s="9"/>
      <c r="D59" s="9"/>
      <c r="E59" s="9"/>
      <c r="F59" s="9"/>
      <c r="G59" s="9"/>
      <c r="H59" s="223"/>
      <c r="I59" s="18"/>
      <c r="J59" s="225"/>
      <c r="K59" s="64"/>
      <c r="L59" s="18"/>
      <c r="M59" s="18"/>
      <c r="N59" s="66"/>
      <c r="O59" s="66"/>
      <c r="P59" s="746"/>
      <c r="Q59" s="18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2.75" customHeight="1" x14ac:dyDescent="0.3">
      <c r="A60" s="338" t="s">
        <v>582</v>
      </c>
      <c r="B60" s="9"/>
      <c r="C60" s="9"/>
      <c r="D60" s="9"/>
      <c r="E60" s="9"/>
      <c r="F60" s="9"/>
      <c r="G60" s="9"/>
      <c r="H60" s="223"/>
      <c r="I60" s="18"/>
      <c r="J60" s="225"/>
      <c r="K60" s="64"/>
      <c r="L60" s="18"/>
      <c r="M60" s="18"/>
      <c r="N60" s="66"/>
      <c r="O60" s="66"/>
      <c r="P60" s="746"/>
      <c r="Q60" s="18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2.75" customHeight="1" x14ac:dyDescent="0.3">
      <c r="A61" s="39" t="s">
        <v>583</v>
      </c>
      <c r="B61" s="9"/>
      <c r="C61" s="9"/>
      <c r="D61" s="9"/>
      <c r="E61" s="9"/>
      <c r="F61" s="9"/>
      <c r="G61" s="18"/>
      <c r="H61" s="64">
        <v>6</v>
      </c>
      <c r="I61" s="18">
        <v>8</v>
      </c>
      <c r="J61" s="225">
        <f t="shared" ref="J61:J64" si="41">SUM(H61:I61)</f>
        <v>14</v>
      </c>
      <c r="K61" s="749">
        <f t="shared" ref="K61:K65" si="42">H61*$H$29</f>
        <v>16149.387755102041</v>
      </c>
      <c r="L61" s="70">
        <f t="shared" ref="L61:L65" si="43">I61*$H$30</f>
        <v>15206.258503401361</v>
      </c>
      <c r="M61" s="70">
        <f t="shared" ref="M61:M64" si="44">SUM(K61:L61)</f>
        <v>31355.646258503402</v>
      </c>
      <c r="N61" s="750">
        <f t="shared" ref="N61:N65" si="45">J61*$H$31</f>
        <v>10873.786407766991</v>
      </c>
      <c r="O61" s="750">
        <f t="shared" ref="O61:O65" si="46">J61*$H$32</f>
        <v>14000</v>
      </c>
      <c r="P61" s="751">
        <f t="shared" ref="P61:P65" si="47">SUM(M61:O61)</f>
        <v>56229.432666270397</v>
      </c>
      <c r="Q61" s="18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2.75" customHeight="1" x14ac:dyDescent="0.3">
      <c r="A62" s="39" t="s">
        <v>584</v>
      </c>
      <c r="B62" s="9"/>
      <c r="C62" s="9"/>
      <c r="D62" s="9"/>
      <c r="E62" s="9"/>
      <c r="F62" s="9"/>
      <c r="G62" s="18"/>
      <c r="H62" s="64">
        <v>6</v>
      </c>
      <c r="I62" s="18">
        <v>8</v>
      </c>
      <c r="J62" s="225">
        <f t="shared" si="41"/>
        <v>14</v>
      </c>
      <c r="K62" s="749">
        <f t="shared" si="42"/>
        <v>16149.387755102041</v>
      </c>
      <c r="L62" s="70">
        <f t="shared" si="43"/>
        <v>15206.258503401361</v>
      </c>
      <c r="M62" s="70">
        <f t="shared" si="44"/>
        <v>31355.646258503402</v>
      </c>
      <c r="N62" s="750">
        <f t="shared" si="45"/>
        <v>10873.786407766991</v>
      </c>
      <c r="O62" s="750">
        <f t="shared" si="46"/>
        <v>14000</v>
      </c>
      <c r="P62" s="751">
        <f t="shared" si="47"/>
        <v>56229.432666270397</v>
      </c>
      <c r="Q62" s="18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2.75" customHeight="1" x14ac:dyDescent="0.3">
      <c r="A63" s="39" t="s">
        <v>585</v>
      </c>
      <c r="B63" s="9"/>
      <c r="C63" s="9"/>
      <c r="D63" s="9"/>
      <c r="E63" s="9"/>
      <c r="F63" s="9"/>
      <c r="G63" s="18"/>
      <c r="H63" s="64">
        <v>3</v>
      </c>
      <c r="I63" s="18">
        <v>5</v>
      </c>
      <c r="J63" s="225">
        <f t="shared" si="41"/>
        <v>8</v>
      </c>
      <c r="K63" s="749">
        <f t="shared" si="42"/>
        <v>8074.6938775510207</v>
      </c>
      <c r="L63" s="70">
        <f t="shared" si="43"/>
        <v>9503.9115646258506</v>
      </c>
      <c r="M63" s="70">
        <f t="shared" si="44"/>
        <v>17578.605442176871</v>
      </c>
      <c r="N63" s="750">
        <f t="shared" si="45"/>
        <v>6213.5922330097092</v>
      </c>
      <c r="O63" s="750">
        <f t="shared" si="46"/>
        <v>8000</v>
      </c>
      <c r="P63" s="751">
        <f t="shared" si="47"/>
        <v>31792.19767518658</v>
      </c>
      <c r="Q63" s="18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2.75" customHeight="1" x14ac:dyDescent="0.3">
      <c r="A64" s="39" t="s">
        <v>586</v>
      </c>
      <c r="B64" s="9"/>
      <c r="C64" s="9"/>
      <c r="D64" s="9"/>
      <c r="E64" s="9"/>
      <c r="F64" s="9"/>
      <c r="G64" s="18"/>
      <c r="H64" s="64">
        <v>3</v>
      </c>
      <c r="I64" s="18">
        <v>4</v>
      </c>
      <c r="J64" s="225">
        <f t="shared" si="41"/>
        <v>7</v>
      </c>
      <c r="K64" s="749">
        <f t="shared" si="42"/>
        <v>8074.6938775510207</v>
      </c>
      <c r="L64" s="70">
        <f t="shared" si="43"/>
        <v>7603.1292517006805</v>
      </c>
      <c r="M64" s="70">
        <f t="shared" si="44"/>
        <v>15677.823129251701</v>
      </c>
      <c r="N64" s="750">
        <f t="shared" si="45"/>
        <v>5436.8932038834955</v>
      </c>
      <c r="O64" s="750">
        <f t="shared" si="46"/>
        <v>7000</v>
      </c>
      <c r="P64" s="751">
        <f t="shared" si="47"/>
        <v>28114.716333135199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2.75" customHeight="1" x14ac:dyDescent="0.3">
      <c r="A65" s="772" t="s">
        <v>136</v>
      </c>
      <c r="B65" s="773"/>
      <c r="C65" s="773"/>
      <c r="D65" s="773"/>
      <c r="E65" s="773"/>
      <c r="F65" s="773"/>
      <c r="G65" s="782"/>
      <c r="H65" s="783">
        <f t="shared" ref="H65:I65" si="48">SUM(H61:H64)</f>
        <v>18</v>
      </c>
      <c r="I65" s="776">
        <f t="shared" si="48"/>
        <v>25</v>
      </c>
      <c r="J65" s="777">
        <f>H65+I65</f>
        <v>43</v>
      </c>
      <c r="K65" s="778">
        <f t="shared" si="42"/>
        <v>48448.163265306124</v>
      </c>
      <c r="L65" s="779">
        <f t="shared" si="43"/>
        <v>47519.557823129253</v>
      </c>
      <c r="M65" s="779">
        <f>K65+L65</f>
        <v>95967.721088435384</v>
      </c>
      <c r="N65" s="780">
        <f t="shared" si="45"/>
        <v>33398.058252427189</v>
      </c>
      <c r="O65" s="780">
        <f t="shared" si="46"/>
        <v>43000</v>
      </c>
      <c r="P65" s="781">
        <f t="shared" si="47"/>
        <v>172365.77934086259</v>
      </c>
      <c r="Q65" s="728" t="s">
        <v>587</v>
      </c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ht="12.75" customHeight="1" x14ac:dyDescent="0.3">
      <c r="A66" s="9"/>
      <c r="B66" s="9"/>
      <c r="C66" s="9"/>
      <c r="D66" s="9"/>
      <c r="E66" s="9"/>
      <c r="F66" s="9"/>
      <c r="G66" s="9"/>
      <c r="H66" s="223"/>
      <c r="I66" s="9"/>
      <c r="J66" s="306"/>
      <c r="K66" s="223"/>
      <c r="L66" s="9"/>
      <c r="M66" s="9"/>
      <c r="N66" s="297"/>
      <c r="O66" s="297"/>
      <c r="P66" s="748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2.75" customHeight="1" x14ac:dyDescent="0.3">
      <c r="A67" s="784" t="s">
        <v>151</v>
      </c>
      <c r="B67" s="785"/>
      <c r="C67" s="785"/>
      <c r="D67" s="785"/>
      <c r="E67" s="785"/>
      <c r="F67" s="785"/>
      <c r="G67" s="786"/>
      <c r="H67" s="787">
        <f t="shared" ref="H67:P67" si="49">H58+H65</f>
        <v>44</v>
      </c>
      <c r="I67" s="788">
        <f t="shared" si="49"/>
        <v>59</v>
      </c>
      <c r="J67" s="789">
        <f t="shared" si="49"/>
        <v>103</v>
      </c>
      <c r="K67" s="784">
        <f t="shared" si="49"/>
        <v>118428.84353741497</v>
      </c>
      <c r="L67" s="785">
        <f t="shared" si="49"/>
        <v>112146.15646258503</v>
      </c>
      <c r="M67" s="785">
        <f t="shared" si="49"/>
        <v>230575.00000000003</v>
      </c>
      <c r="N67" s="790">
        <f t="shared" si="49"/>
        <v>80000</v>
      </c>
      <c r="O67" s="790">
        <f t="shared" si="49"/>
        <v>103000</v>
      </c>
      <c r="P67" s="790">
        <f t="shared" si="49"/>
        <v>413575.00000000006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2.75" customHeight="1" x14ac:dyDescent="0.3">
      <c r="A68" s="9"/>
      <c r="B68" s="9"/>
      <c r="C68" s="9"/>
      <c r="D68" s="9"/>
      <c r="E68" s="9"/>
      <c r="F68" s="9"/>
      <c r="G68" s="70"/>
      <c r="H68" s="7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2.75" customHeight="1" x14ac:dyDescent="0.3">
      <c r="A69" s="791" t="s">
        <v>588</v>
      </c>
      <c r="B69" s="792"/>
      <c r="C69" s="792"/>
      <c r="D69" s="792"/>
      <c r="E69" s="792"/>
      <c r="F69" s="792"/>
      <c r="G69" s="792"/>
      <c r="H69" s="792"/>
      <c r="I69" s="792"/>
      <c r="J69" s="792"/>
      <c r="K69" s="792"/>
      <c r="L69" s="792"/>
      <c r="M69" s="793">
        <f t="shared" ref="M69:N69" si="50">M65</f>
        <v>95967.721088435384</v>
      </c>
      <c r="N69" s="793">
        <f t="shared" si="50"/>
        <v>33398.058252427189</v>
      </c>
      <c r="O69" s="794"/>
      <c r="P69" s="795">
        <f t="shared" ref="P69:P70" si="51">SUM(M69:O69)</f>
        <v>129365.77934086257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2.75" customHeight="1" x14ac:dyDescent="0.3">
      <c r="A70" s="796" t="s">
        <v>589</v>
      </c>
      <c r="B70" s="733"/>
      <c r="C70" s="733"/>
      <c r="D70" s="733"/>
      <c r="E70" s="733"/>
      <c r="F70" s="733"/>
      <c r="G70" s="733"/>
      <c r="H70" s="733"/>
      <c r="I70" s="797"/>
      <c r="J70" s="733"/>
      <c r="K70" s="733"/>
      <c r="L70" s="733"/>
      <c r="M70" s="798">
        <f t="shared" ref="M70:N70" si="52">M56+M65</f>
        <v>141419.62585034015</v>
      </c>
      <c r="N70" s="798">
        <f t="shared" si="52"/>
        <v>49708.737864077673</v>
      </c>
      <c r="O70" s="798">
        <f>O56</f>
        <v>21000</v>
      </c>
      <c r="P70" s="799">
        <f t="shared" si="51"/>
        <v>212128.36371441782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2.7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2.7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2.7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2.7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2.7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2.7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2.7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2.7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12.7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12.7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12.7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12.7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12.7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12.7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12.7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12.7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12.7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2.7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12.7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12.7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12.7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12.7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12.7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12.7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12.7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12.7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12.7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12.7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12.7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12.7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12.7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2.7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2.7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2.7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2.7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2.7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12.7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12.7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12.7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12.7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12.7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12.7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12.7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12.7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12.7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12.7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12.7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12.7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2.7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12.7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12.7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12.7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12.7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12.7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12.7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12.7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12.7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12.7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ht="12.7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ht="12.7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2.7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12.7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ht="12.75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ht="12.75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ht="12.75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ht="12.75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ht="12.7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ht="12.7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ht="12.7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ht="12.7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ht="12.7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ht="12.7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2.7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ht="12.7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ht="12.7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ht="12.7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ht="12.7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ht="12.7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ht="12.7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ht="12.7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ht="12.7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ht="12.7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ht="12.7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ht="12.7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ht="12.7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ht="12.7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ht="12.7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ht="12.7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ht="12.75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ht="12.75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 ht="12.75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 ht="12.75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ht="12.75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ht="12.75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ht="12.75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ht="12.75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ht="12.7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ht="12.7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 ht="12.75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 ht="12.7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 ht="12.7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ht="12.7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ht="12.7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 ht="12.7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 ht="12.7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 ht="12.7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ht="12.7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 ht="12.7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ht="12.7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 ht="12.7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ht="12.7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ht="12.7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ht="12.7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1:36" ht="12.7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 ht="12.7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1:36" ht="12.7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 ht="12.7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1:36" ht="12.7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 ht="12.7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 ht="12.7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ht="12.7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ht="12.7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ht="12.7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ht="12.7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1:36" ht="12.7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1:36" ht="12.7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1:36" ht="12.7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 ht="12.7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ht="12.7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1:36" ht="12.7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1:36" ht="12.7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ht="12.7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ht="12.7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1:36" ht="12.7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 ht="12.7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 ht="12.7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ht="12.7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1:36" ht="12.7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1:36" ht="12.7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1:36" ht="12.7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1:36" ht="12.7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1:36" ht="12.7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36" ht="12.7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ht="12.7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ht="12.7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36" ht="12.7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1:36" ht="12.7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1:36" ht="12.7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 ht="12.7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1:36" ht="12.7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1:36" ht="12.75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1:36" ht="12.75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1:36" ht="12.75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1:36" ht="12.75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1:36" ht="12.7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ht="12.7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ht="12.7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1:36" ht="12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1:36" ht="12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 ht="12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 ht="12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1:36" ht="12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1:36" ht="12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 ht="12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ht="12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1:36" ht="12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1:36" ht="12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1:36" ht="12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1:36" ht="12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1:36" ht="12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1:36" ht="12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1:36" ht="12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1:36" ht="12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1:36" ht="12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1:36" ht="12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1:36" ht="12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1:36" ht="12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1:36" ht="12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1:36" ht="12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1:36" ht="12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1:36" ht="12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1:36" ht="12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1:36" ht="12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1:36" ht="12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1:36" ht="12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1:36" ht="12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1:36" ht="12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1:36" ht="12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1:36" ht="12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1:36" ht="12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1:36" ht="12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1:36" ht="12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1:36" ht="12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1:36" ht="12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1:36" ht="12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1:36" ht="12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1:36" ht="12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1:36" ht="12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1:36" ht="12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1:36" ht="12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1:36" ht="12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1:36" ht="12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1:36" ht="12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1:36" ht="12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1:36" ht="12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1:36" ht="12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1:36" ht="12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1:36" ht="12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1:36" ht="12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1:36" ht="12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1:36" ht="12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1:36" ht="12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1:36" ht="12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1:36" ht="12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1:36" ht="12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1:36" ht="12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1:36" ht="12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1:36" ht="12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1:36" ht="12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1:36" ht="12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1:36" ht="12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1:36" ht="12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1:36" ht="12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1:36" ht="12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1:36" ht="12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1:36" ht="12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1:36" ht="12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1:36" ht="12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1:36" ht="12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1:36" ht="12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1:36" ht="12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1:36" ht="12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1:36" ht="12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1:36" ht="12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1:36" ht="12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1:36" ht="12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1:36" ht="12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1:36" ht="12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1:36" ht="12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1:36" ht="12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1:36" ht="12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1:36" ht="12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1:36" ht="12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1:36" ht="12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1:36" ht="12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1:36" ht="12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1:36" ht="12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1:36" ht="12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1:36" ht="12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1:36" ht="12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1:36" ht="12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1:36" ht="12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1:36" ht="12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1:36" ht="12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1:36" ht="12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1:36" ht="12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1:36" ht="12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1:36" ht="12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1:36" ht="12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1:36" ht="12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1:36" ht="12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1:36" ht="12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1:36" ht="12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1:36" ht="12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1:36" ht="12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1:36" ht="12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1:36" ht="12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1:36" ht="12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1:36" ht="12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1:36" ht="12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1:36" ht="12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1:36" ht="12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1:36" ht="12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1:36" ht="12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1:36" ht="12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1:36" ht="12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1:36" ht="12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1:36" ht="12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1:36" ht="12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1:36" ht="12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1:36" ht="12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1:36" ht="12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1:36" ht="12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1:36" ht="12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1:36" ht="12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1:36" ht="12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1:36" ht="12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1:36" ht="12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1:36" ht="12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1:36" ht="12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1:36" ht="12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1:36" ht="12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1:36" ht="12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1:36" ht="12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1:36" ht="12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1:36" ht="12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1:36" ht="12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1:36" ht="12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1:36" ht="12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1:36" ht="12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1:36" ht="12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1:36" ht="12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1:36" ht="12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1:36" ht="12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1:36" ht="12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1:36" ht="12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1:36" ht="12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1:36" ht="12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1:36" ht="12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1:36" ht="12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1:36" ht="12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1:36" ht="12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1:36" ht="12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1:36" ht="12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1:36" ht="12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1:36" ht="12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1:36" ht="12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1:36" ht="12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1:36" ht="12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1:36" ht="12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1:36" ht="12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1:36" ht="12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1:36" ht="12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1:36" ht="12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1:36" ht="12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1:36" ht="12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1:36" ht="12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1:36" ht="12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1:36" ht="12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1:36" ht="12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1:36" ht="12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1:36" ht="12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1:36" ht="12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1:36" ht="12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1:36" ht="12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1:36" ht="12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1:36" ht="12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1:36" ht="12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1:36" ht="12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1:36" ht="12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1:36" ht="12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1:36" ht="12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1:36" ht="12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1:36" ht="12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1:36" ht="12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1:36" ht="12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1:36" ht="12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1:36" ht="12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1:36" ht="12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1:36" ht="12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1:36" ht="12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1:36" ht="12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1:36" ht="12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1:36" ht="12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1:36" ht="12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1:36" ht="12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1:36" ht="12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1:36" ht="12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1:36" ht="12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1:36" ht="12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1:36" ht="12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1:36" ht="12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1:36" ht="12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1:36" ht="12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1:36" ht="12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1:36" ht="12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1:36" ht="12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1:36" ht="12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1:36" ht="12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1:36" ht="12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1:36" ht="12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1:36" ht="12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1:36" ht="12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1:36" ht="12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1:36" ht="12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1:36" ht="12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1:36" ht="12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1:36" ht="12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1:36" ht="12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1:36" ht="12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1:36" ht="12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1:36" ht="12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1:36" ht="12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1:36" ht="12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1:36" ht="12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1:36" ht="12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1:36" ht="12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1:36" ht="12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1:36" ht="12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1:36" ht="12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1:36" ht="12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1:36" ht="12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1:36" ht="12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1:36" ht="12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1:36" ht="12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1:36" ht="12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1:36" ht="12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1:36" ht="12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1:36" ht="12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1:36" ht="12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1:36" ht="12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1:36" ht="12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1:36" ht="12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1:36" ht="12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1:36" ht="12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1:36" ht="12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1:36" ht="12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1:36" ht="12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1:36" ht="12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1:36" ht="12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1:36" ht="12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1:36" ht="12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1:36" ht="12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1:36" ht="12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1:36" ht="12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1:36" ht="12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1:36" ht="12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1:36" ht="12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1:36" ht="12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1:36" ht="12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1:36" ht="12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1:36" ht="12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1:36" ht="12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1:36" ht="12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1:36" ht="12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1:36" ht="12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1:36" ht="12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1:36" ht="12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1:36" ht="12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1:36" ht="12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1:36" ht="12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1:36" ht="12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1:36" ht="12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1:36" ht="12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1:36" ht="12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1:36" ht="12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1:36" ht="12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1:36" ht="12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1:36" ht="12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1:36" ht="12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1:36" ht="12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1:36" ht="12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1:36" ht="12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1:36" ht="12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1:36" ht="12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1:36" ht="12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1:36" ht="12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1:36" ht="12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1:36" ht="12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1:36" ht="12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1:36" ht="12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1:36" ht="12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1:36" ht="12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1:36" ht="12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1:36" ht="12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1:36" ht="12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1:36" ht="12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1:36" ht="12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1:36" ht="12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1:36" ht="12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1:36" ht="12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1:36" ht="12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1:36" ht="12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1:36" ht="12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1:36" ht="12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1:36" ht="12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1:36" ht="12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1:36" ht="12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1:36" ht="12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1:36" ht="12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1:36" ht="12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1:36" ht="12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1:36" ht="12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1:36" ht="12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1:36" ht="12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1:36" ht="12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1:36" ht="12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1:36" ht="12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1:36" ht="12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1:36" ht="12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1:36" ht="12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1:36" ht="12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1:36" ht="12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1:36" ht="12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1:36" ht="12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1:36" ht="12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1:36" ht="12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1:36" ht="12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1:36" ht="12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1:36" ht="12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1:36" ht="12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1:36" ht="12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1:36" ht="12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1:36" ht="12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1:36" ht="12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1:36" ht="12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1:36" ht="12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1:36" ht="12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1:36" ht="12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1:36" ht="12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1:36" ht="12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1:36" ht="12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1:36" ht="12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1:36" ht="12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1:36" ht="12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1:36" ht="12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1:36" ht="12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1:36" ht="12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1:36" ht="12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1:36" ht="12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1:36" ht="12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1:36" ht="12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1:36" ht="12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1:36" ht="12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1:36" ht="12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1:36" ht="12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1:36" ht="12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1:36" ht="12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1:36" ht="12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1:36" ht="12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1:36" ht="12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1:36" ht="12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1:36" ht="12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1:36" ht="12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1:36" ht="12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1:36" ht="12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1:36" ht="12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1:36" ht="12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1:36" ht="12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1:36" ht="12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1:36" ht="12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1:36" ht="12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1:36" ht="12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1:36" ht="12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1:36" ht="12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1:36" ht="12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1:36" ht="12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1:36" ht="12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1:36" ht="12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1:36" ht="12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1:36" ht="12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1:36" ht="12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1:36" ht="12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1:36" ht="12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  <row r="615" spans="1:36" ht="12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</row>
    <row r="616" spans="1:36" ht="12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</row>
    <row r="617" spans="1:36" ht="12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1:36" ht="12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1:36" ht="12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</row>
    <row r="620" spans="1:36" ht="12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</row>
    <row r="621" spans="1:36" ht="12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1:36" ht="12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1:36" ht="12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1:36" ht="12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1:36" ht="12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</row>
    <row r="626" spans="1:36" ht="12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</row>
    <row r="627" spans="1:36" ht="12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</row>
    <row r="628" spans="1:36" ht="12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</row>
    <row r="629" spans="1:36" ht="12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1:36" ht="12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1:36" ht="12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1:36" ht="12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1:36" ht="12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</row>
    <row r="634" spans="1:36" ht="12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</row>
    <row r="635" spans="1:36" ht="12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</row>
    <row r="636" spans="1:36" ht="12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</row>
    <row r="637" spans="1:36" ht="12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</row>
    <row r="638" spans="1:36" ht="12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</row>
    <row r="639" spans="1:36" ht="12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</row>
    <row r="640" spans="1:36" ht="12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</row>
    <row r="641" spans="1:36" ht="12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</row>
    <row r="642" spans="1:36" ht="12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</row>
    <row r="643" spans="1:36" ht="12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</row>
    <row r="644" spans="1:36" ht="12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</row>
    <row r="645" spans="1:36" ht="12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</row>
    <row r="646" spans="1:36" ht="12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</row>
    <row r="647" spans="1:36" ht="12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</row>
    <row r="648" spans="1:36" ht="12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</row>
    <row r="649" spans="1:36" ht="12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</row>
    <row r="650" spans="1:36" ht="12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</row>
    <row r="651" spans="1:36" ht="12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1:36" ht="12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</row>
    <row r="653" spans="1:36" ht="12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</row>
    <row r="654" spans="1:36" ht="12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</row>
    <row r="655" spans="1:36" ht="12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</row>
    <row r="656" spans="1:36" ht="12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</row>
    <row r="657" spans="1:36" ht="12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</row>
    <row r="658" spans="1:36" ht="12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</row>
    <row r="659" spans="1:36" ht="12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</row>
    <row r="660" spans="1:36" ht="12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</row>
    <row r="661" spans="1:36" ht="12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</row>
    <row r="662" spans="1:36" ht="12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</row>
    <row r="663" spans="1:36" ht="12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</row>
    <row r="664" spans="1:36" ht="12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</row>
    <row r="665" spans="1:36" ht="12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</row>
    <row r="666" spans="1:36" ht="12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</row>
    <row r="667" spans="1:36" ht="12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</row>
    <row r="668" spans="1:36" ht="12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</row>
    <row r="669" spans="1:36" ht="12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</row>
    <row r="670" spans="1:36" ht="12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</row>
    <row r="671" spans="1:36" ht="12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</row>
    <row r="672" spans="1:36" ht="12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</row>
    <row r="673" spans="1:36" ht="12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1:36" ht="12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1:36" ht="12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1:36" ht="12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</row>
    <row r="677" spans="1:36" ht="12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</row>
    <row r="678" spans="1:36" ht="12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</row>
    <row r="679" spans="1:36" ht="12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1:36" ht="12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</row>
    <row r="681" spans="1:36" ht="12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</row>
    <row r="682" spans="1:36" ht="12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1:36" ht="12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1:36" ht="12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1:36" ht="12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1:36" ht="12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1:36" ht="12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</row>
    <row r="688" spans="1:36" ht="12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</row>
    <row r="689" spans="1:36" ht="12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</row>
    <row r="690" spans="1:36" ht="12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</row>
    <row r="691" spans="1:36" ht="12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</row>
    <row r="692" spans="1:36" ht="12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</row>
    <row r="693" spans="1:36" ht="12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1:36" ht="12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</row>
    <row r="695" spans="1:36" ht="12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1:36" ht="12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1:36" ht="12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1:36" ht="12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1:36" ht="12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1:36" ht="12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</row>
    <row r="701" spans="1:36" ht="12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</row>
    <row r="702" spans="1:36" ht="12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</row>
    <row r="703" spans="1:36" ht="12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</row>
    <row r="704" spans="1:36" ht="12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1:36" ht="12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</row>
    <row r="706" spans="1:36" ht="12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</row>
    <row r="707" spans="1:36" ht="12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</row>
    <row r="708" spans="1:36" ht="12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</row>
    <row r="709" spans="1:36" ht="12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1:36" ht="12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1:36" ht="12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1:36" ht="12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1:36" ht="12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</row>
    <row r="714" spans="1:36" ht="12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</row>
    <row r="715" spans="1:36" ht="12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</row>
    <row r="716" spans="1:36" ht="12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</row>
    <row r="717" spans="1:36" ht="12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</row>
    <row r="718" spans="1:36" ht="12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1:36" ht="12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</row>
    <row r="720" spans="1:36" ht="12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</row>
    <row r="721" spans="1:36" ht="12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</row>
    <row r="722" spans="1:36" ht="12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</row>
    <row r="723" spans="1:36" ht="12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</row>
    <row r="724" spans="1:36" ht="12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</row>
    <row r="725" spans="1:36" ht="12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1:36" ht="12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</row>
    <row r="727" spans="1:36" ht="12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</row>
    <row r="728" spans="1:36" ht="12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</row>
    <row r="729" spans="1:36" ht="12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</row>
    <row r="730" spans="1:36" ht="12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  <row r="731" spans="1:36" ht="12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</row>
    <row r="732" spans="1:36" ht="12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</row>
    <row r="733" spans="1:36" ht="12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</row>
    <row r="734" spans="1:36" ht="12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</row>
    <row r="735" spans="1:36" ht="12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</row>
    <row r="736" spans="1:36" ht="12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</row>
    <row r="737" spans="1:36" ht="12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</row>
    <row r="738" spans="1:36" ht="12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</row>
    <row r="739" spans="1:36" ht="12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</row>
    <row r="740" spans="1:36" ht="12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</row>
    <row r="741" spans="1:36" ht="12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</row>
    <row r="742" spans="1:36" ht="12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</row>
    <row r="743" spans="1:36" ht="12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</row>
    <row r="744" spans="1:36" ht="12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</row>
    <row r="745" spans="1:36" ht="12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</row>
    <row r="746" spans="1:36" ht="12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</row>
    <row r="747" spans="1:36" ht="12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</row>
    <row r="748" spans="1:36" ht="12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</row>
    <row r="749" spans="1:36" ht="12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</row>
    <row r="750" spans="1:36" ht="12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</row>
    <row r="751" spans="1:36" ht="12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</row>
    <row r="752" spans="1:36" ht="12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</row>
    <row r="753" spans="1:36" ht="12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</row>
    <row r="754" spans="1:36" ht="12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</row>
    <row r="755" spans="1:36" ht="12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</row>
    <row r="756" spans="1:36" ht="12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</row>
    <row r="757" spans="1:36" ht="12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</row>
    <row r="758" spans="1:36" ht="12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</row>
    <row r="759" spans="1:36" ht="12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</row>
    <row r="760" spans="1:36" ht="12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</row>
    <row r="761" spans="1:36" ht="12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</row>
    <row r="762" spans="1:36" ht="12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</row>
    <row r="763" spans="1:36" ht="12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</row>
    <row r="764" spans="1:36" ht="12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</row>
    <row r="765" spans="1:36" ht="12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</row>
    <row r="766" spans="1:36" ht="12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</row>
    <row r="767" spans="1:36" ht="12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</row>
    <row r="768" spans="1:36" ht="12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</row>
    <row r="769" spans="1:36" ht="12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</row>
    <row r="770" spans="1:36" ht="12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</row>
    <row r="771" spans="1:36" ht="12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</row>
    <row r="772" spans="1:36" ht="12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</row>
    <row r="773" spans="1:36" ht="12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</row>
    <row r="774" spans="1:36" ht="12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</row>
    <row r="775" spans="1:36" ht="12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</row>
    <row r="776" spans="1:36" ht="12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</row>
    <row r="777" spans="1:36" ht="12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</row>
    <row r="778" spans="1:36" ht="12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</row>
    <row r="779" spans="1:36" ht="12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</row>
    <row r="780" spans="1:36" ht="12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</row>
    <row r="781" spans="1:36" ht="12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</row>
    <row r="782" spans="1:36" ht="12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</row>
    <row r="783" spans="1:36" ht="12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</row>
    <row r="784" spans="1:36" ht="12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</row>
    <row r="785" spans="1:36" ht="12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</row>
    <row r="786" spans="1:36" ht="12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</row>
    <row r="787" spans="1:36" ht="12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</row>
    <row r="788" spans="1:36" ht="12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</row>
    <row r="789" spans="1:36" ht="12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</row>
    <row r="790" spans="1:36" ht="12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</row>
    <row r="791" spans="1:36" ht="12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</row>
    <row r="792" spans="1:36" ht="12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</row>
    <row r="793" spans="1:36" ht="12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</row>
    <row r="794" spans="1:36" ht="12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</row>
    <row r="795" spans="1:36" ht="12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</row>
    <row r="796" spans="1:36" ht="12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</row>
    <row r="797" spans="1:36" ht="12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</row>
    <row r="798" spans="1:36" ht="12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</row>
    <row r="799" spans="1:36" ht="12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</row>
    <row r="800" spans="1:36" ht="12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</row>
    <row r="801" spans="1:36" ht="12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</row>
    <row r="802" spans="1:36" ht="12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</row>
    <row r="803" spans="1:36" ht="12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</row>
    <row r="804" spans="1:36" ht="12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</row>
    <row r="805" spans="1:36" ht="12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</row>
    <row r="806" spans="1:36" ht="12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</row>
    <row r="807" spans="1:36" ht="12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</row>
    <row r="808" spans="1:36" ht="12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</row>
    <row r="809" spans="1:36" ht="12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</row>
    <row r="810" spans="1:36" ht="12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</row>
    <row r="811" spans="1:36" ht="12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</row>
    <row r="812" spans="1:36" ht="12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</row>
    <row r="813" spans="1:36" ht="12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</row>
    <row r="814" spans="1:36" ht="12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</row>
    <row r="815" spans="1:36" ht="12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</row>
    <row r="816" spans="1:36" ht="12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</row>
    <row r="817" spans="1:36" ht="12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</row>
    <row r="818" spans="1:36" ht="12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</row>
    <row r="819" spans="1:36" ht="12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</row>
    <row r="820" spans="1:36" ht="12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</row>
    <row r="821" spans="1:36" ht="12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</row>
    <row r="822" spans="1:36" ht="12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</row>
    <row r="823" spans="1:36" ht="12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</row>
    <row r="824" spans="1:36" ht="12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</row>
    <row r="825" spans="1:36" ht="12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</row>
    <row r="826" spans="1:36" ht="12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</row>
    <row r="827" spans="1:36" ht="12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</row>
    <row r="828" spans="1:36" ht="12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</row>
    <row r="829" spans="1:36" ht="12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</row>
    <row r="830" spans="1:36" ht="12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</row>
    <row r="831" spans="1:36" ht="12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</row>
    <row r="832" spans="1:36" ht="12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</row>
    <row r="833" spans="1:36" ht="12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</row>
    <row r="834" spans="1:36" ht="12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</row>
    <row r="835" spans="1:36" ht="12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</row>
    <row r="836" spans="1:36" ht="12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</row>
    <row r="837" spans="1:36" ht="12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</row>
    <row r="838" spans="1:36" ht="12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</row>
    <row r="839" spans="1:36" ht="12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</row>
    <row r="840" spans="1:36" ht="12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</row>
    <row r="841" spans="1:36" ht="12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</row>
    <row r="842" spans="1:36" ht="12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</row>
    <row r="843" spans="1:36" ht="12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</row>
    <row r="844" spans="1:36" ht="12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</row>
    <row r="845" spans="1:36" ht="12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</row>
    <row r="846" spans="1:36" ht="12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</row>
    <row r="847" spans="1:36" ht="12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</row>
    <row r="848" spans="1:36" ht="12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</row>
    <row r="849" spans="1:36" ht="12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</row>
    <row r="850" spans="1:36" ht="12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</row>
    <row r="851" spans="1:36" ht="12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</row>
    <row r="852" spans="1:36" ht="12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</row>
    <row r="853" spans="1:36" ht="12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</row>
    <row r="854" spans="1:36" ht="12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</row>
    <row r="855" spans="1:36" ht="12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</row>
    <row r="856" spans="1:36" ht="12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</row>
    <row r="857" spans="1:36" ht="12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</row>
    <row r="858" spans="1:36" ht="12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</row>
    <row r="859" spans="1:36" ht="12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</row>
    <row r="860" spans="1:36" ht="12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</row>
    <row r="861" spans="1:36" ht="12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</row>
    <row r="862" spans="1:36" ht="12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</row>
    <row r="863" spans="1:36" ht="12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</row>
    <row r="864" spans="1:36" ht="12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</row>
    <row r="865" spans="1:36" ht="12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</row>
    <row r="866" spans="1:36" ht="12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</row>
    <row r="867" spans="1:36" ht="12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</row>
    <row r="868" spans="1:36" ht="12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</row>
    <row r="869" spans="1:36" ht="12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</row>
    <row r="870" spans="1:36" ht="12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</row>
    <row r="871" spans="1:36" ht="12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</row>
    <row r="872" spans="1:36" ht="12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</row>
    <row r="873" spans="1:36" ht="12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</row>
    <row r="874" spans="1:36" ht="12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</row>
    <row r="875" spans="1:36" ht="12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</row>
    <row r="876" spans="1:36" ht="12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</row>
    <row r="877" spans="1:36" ht="12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</row>
    <row r="878" spans="1:36" ht="12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</row>
    <row r="879" spans="1:36" ht="12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</row>
    <row r="880" spans="1:36" ht="12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</row>
    <row r="881" spans="1:36" ht="12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</row>
    <row r="882" spans="1:36" ht="12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</row>
    <row r="883" spans="1:36" ht="12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</row>
    <row r="884" spans="1:36" ht="12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</row>
    <row r="885" spans="1:36" ht="12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</row>
    <row r="886" spans="1:36" ht="12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</row>
    <row r="887" spans="1:36" ht="12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</row>
    <row r="888" spans="1:36" ht="12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</row>
    <row r="889" spans="1:36" ht="12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</row>
    <row r="890" spans="1:36" ht="12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</row>
    <row r="891" spans="1:36" ht="12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</row>
    <row r="892" spans="1:36" ht="12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</row>
    <row r="893" spans="1:36" ht="12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</row>
    <row r="894" spans="1:36" ht="12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</row>
    <row r="895" spans="1:36" ht="12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</row>
    <row r="896" spans="1:36" ht="12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</row>
    <row r="897" spans="1:36" ht="12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</row>
    <row r="898" spans="1:36" ht="12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</row>
    <row r="899" spans="1:36" ht="12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</row>
    <row r="900" spans="1:36" ht="12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</row>
    <row r="901" spans="1:36" ht="12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</row>
    <row r="902" spans="1:36" ht="12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</row>
    <row r="903" spans="1:36" ht="12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</row>
    <row r="904" spans="1:36" ht="12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</row>
    <row r="905" spans="1:36" ht="12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</row>
    <row r="906" spans="1:36" ht="12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</row>
    <row r="907" spans="1:36" ht="12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</row>
    <row r="908" spans="1:36" ht="12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</row>
    <row r="909" spans="1:36" ht="12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</row>
    <row r="910" spans="1:36" ht="12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</row>
    <row r="911" spans="1:36" ht="12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</row>
    <row r="912" spans="1:36" ht="12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</row>
    <row r="913" spans="1:36" ht="12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</row>
    <row r="914" spans="1:36" ht="12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</row>
    <row r="915" spans="1:36" ht="12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</row>
    <row r="916" spans="1:36" ht="12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</row>
    <row r="917" spans="1:36" ht="12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</row>
    <row r="918" spans="1:36" ht="12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</row>
    <row r="919" spans="1:36" ht="12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</row>
    <row r="920" spans="1:36" ht="12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</row>
    <row r="921" spans="1:36" ht="12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</row>
    <row r="922" spans="1:36" ht="12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</row>
    <row r="923" spans="1:36" ht="12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</row>
    <row r="924" spans="1:36" ht="12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</row>
    <row r="925" spans="1:36" ht="12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</row>
    <row r="926" spans="1:36" ht="12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</row>
    <row r="927" spans="1:36" ht="12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</row>
    <row r="928" spans="1:36" ht="12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</row>
    <row r="929" spans="1:36" ht="12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</row>
    <row r="930" spans="1:36" ht="12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</row>
    <row r="931" spans="1:36" ht="12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</row>
    <row r="932" spans="1:36" ht="12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</row>
    <row r="933" spans="1:36" ht="12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</row>
    <row r="934" spans="1:36" ht="12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</row>
    <row r="935" spans="1:36" ht="12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</row>
    <row r="936" spans="1:36" ht="12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</row>
    <row r="937" spans="1:36" ht="12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</row>
    <row r="938" spans="1:36" ht="12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</row>
    <row r="939" spans="1:36" ht="12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</row>
    <row r="940" spans="1:36" ht="12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</row>
    <row r="941" spans="1:36" ht="12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</row>
    <row r="942" spans="1:36" ht="12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</row>
    <row r="943" spans="1:36" ht="12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</row>
    <row r="944" spans="1:36" ht="12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</row>
    <row r="945" spans="1:36" ht="12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</row>
    <row r="946" spans="1:36" ht="12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</row>
    <row r="947" spans="1:36" ht="12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</row>
    <row r="948" spans="1:36" ht="12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</row>
    <row r="949" spans="1:36" ht="12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</row>
    <row r="950" spans="1:36" ht="12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</row>
    <row r="951" spans="1:36" ht="12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</row>
    <row r="952" spans="1:36" ht="12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</row>
    <row r="953" spans="1:36" ht="12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</row>
    <row r="954" spans="1:36" ht="12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</row>
    <row r="955" spans="1:36" ht="12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</row>
    <row r="956" spans="1:36" ht="12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</row>
    <row r="957" spans="1:36" ht="12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</row>
    <row r="958" spans="1:36" ht="12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</row>
    <row r="959" spans="1:36" ht="12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</row>
    <row r="960" spans="1:36" ht="12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</row>
    <row r="961" spans="1:36" ht="12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</row>
    <row r="962" spans="1:36" ht="12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</row>
    <row r="963" spans="1:36" ht="12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</row>
    <row r="964" spans="1:36" ht="12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</row>
    <row r="965" spans="1:36" ht="12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</row>
    <row r="966" spans="1:36" ht="12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</row>
    <row r="967" spans="1:36" ht="12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</row>
    <row r="968" spans="1:36" ht="12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</row>
    <row r="969" spans="1:36" ht="12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</row>
    <row r="970" spans="1:36" ht="12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</row>
    <row r="971" spans="1:36" ht="12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</row>
    <row r="972" spans="1:36" ht="12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</row>
    <row r="973" spans="1:36" ht="12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</row>
    <row r="974" spans="1:36" ht="12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</row>
    <row r="975" spans="1:36" ht="12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</row>
    <row r="976" spans="1:36" ht="12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</row>
    <row r="977" spans="1:36" ht="12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</row>
    <row r="978" spans="1:36" ht="12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</row>
    <row r="979" spans="1:36" ht="12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</row>
    <row r="980" spans="1:36" ht="12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</row>
    <row r="981" spans="1:36" ht="12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</row>
    <row r="982" spans="1:36" ht="12.7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</row>
    <row r="983" spans="1:36" ht="12.7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</row>
    <row r="984" spans="1:36" ht="12.7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</row>
    <row r="985" spans="1:36" ht="12.7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</row>
    <row r="986" spans="1:36" ht="12.7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</row>
    <row r="987" spans="1:36" ht="12.7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</row>
    <row r="988" spans="1:36" ht="12.7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</row>
    <row r="989" spans="1:36" ht="12.7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</row>
    <row r="990" spans="1:36" ht="12.7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</row>
    <row r="991" spans="1:36" ht="12.7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</row>
    <row r="992" spans="1:36" ht="12.7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</row>
    <row r="993" spans="1:36" ht="12.7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</row>
    <row r="994" spans="1:36" ht="12.7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</row>
    <row r="995" spans="1:36" ht="12.7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</row>
    <row r="996" spans="1:36" ht="12.7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</row>
    <row r="997" spans="1:36" ht="12.7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</row>
    <row r="998" spans="1:36" ht="12.7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</row>
    <row r="999" spans="1:36" ht="12.7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</row>
    <row r="1000" spans="1:36" ht="12.75" customHeight="1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</row>
    <row r="1001" spans="1:36" ht="12.75" customHeight="1" x14ac:dyDescent="0.3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</row>
    <row r="1002" spans="1:36" ht="12.75" customHeight="1" x14ac:dyDescent="0.3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</row>
    <row r="1003" spans="1:36" ht="12.75" customHeight="1" x14ac:dyDescent="0.3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</row>
    <row r="1004" spans="1:36" ht="12.75" customHeight="1" x14ac:dyDescent="0.3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</row>
    <row r="1005" spans="1:36" ht="12.75" customHeight="1" x14ac:dyDescent="0.3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</row>
  </sheetData>
  <sheetProtection algorithmName="SHA-512" hashValue="JgF2lXzI3NxZGQ+7h0OfGS7vrUELavPiyXqKdTZC4tBPp0DFRMeiLdpYj2NJgbFeggE7WvLzspE/Xzl6YCqkyw==" saltValue="lXmc0KKmzAQI2dJ9q2AslQ==" spinCount="100000" sheet="1" objects="1" scenarios="1"/>
  <mergeCells count="6">
    <mergeCell ref="I1:K1"/>
    <mergeCell ref="L1:N1"/>
    <mergeCell ref="R1:T1"/>
    <mergeCell ref="U1:W1"/>
    <mergeCell ref="H35:J35"/>
    <mergeCell ref="K35:L35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Budsjettanalyse</vt:lpstr>
      <vt:lpstr>Budsjett</vt:lpstr>
      <vt:lpstr>Sentralt</vt:lpstr>
      <vt:lpstr>Program</vt:lpstr>
      <vt:lpstr>Progr. konstanter og variabler</vt:lpstr>
      <vt:lpstr>Komitéer</vt:lpstr>
      <vt:lpstr>Prosjekter</vt:lpstr>
      <vt:lpstr>Prisberegning</vt:lpstr>
      <vt:lpstr>Høstmøtet</vt:lpstr>
      <vt:lpstr>Landsmøtet</vt:lpstr>
      <vt:lpstr>FinansFond</vt:lpstr>
      <vt:lpstr>Jukselapp-deltakelse</vt:lpstr>
      <vt:lpstr>Knuts huskeliste</vt:lpstr>
      <vt:lpstr>Knuts jukselapp2</vt:lpstr>
      <vt:lpstr>Noter etter endring</vt:lpstr>
      <vt:lpstr>Kompaz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Berge, Knut Audun Monen</dc:creator>
  <cp:lastModifiedBy>Sigrid Sollie Kornstad</cp:lastModifiedBy>
  <dcterms:created xsi:type="dcterms:W3CDTF">2017-02-27T08:03:57Z</dcterms:created>
  <dcterms:modified xsi:type="dcterms:W3CDTF">2022-04-11T17:20:41Z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cc820c-7ecf-4d66-ad4f-3d23d4695006_Enabled">
    <vt:lpwstr>true</vt:lpwstr>
  </property>
  <property fmtid="{D5CDD505-2E9C-101B-9397-08002B2CF9AE}" pid="3" name="MSIP_Label_53cc820c-7ecf-4d66-ad4f-3d23d4695006_SetDate">
    <vt:lpwstr>2021-09-28T12:18:12Z</vt:lpwstr>
  </property>
  <property fmtid="{D5CDD505-2E9C-101B-9397-08002B2CF9AE}" pid="4" name="MSIP_Label_53cc820c-7ecf-4d66-ad4f-3d23d4695006_Method">
    <vt:lpwstr>Privileged</vt:lpwstr>
  </property>
  <property fmtid="{D5CDD505-2E9C-101B-9397-08002B2CF9AE}" pid="5" name="MSIP_Label_53cc820c-7ecf-4d66-ad4f-3d23d4695006_Name">
    <vt:lpwstr>Ikke jobbrelatert SN</vt:lpwstr>
  </property>
  <property fmtid="{D5CDD505-2E9C-101B-9397-08002B2CF9AE}" pid="6" name="MSIP_Label_53cc820c-7ecf-4d66-ad4f-3d23d4695006_SiteId">
    <vt:lpwstr>a8d61462-f252-44b2-bf6a-d7231960c041</vt:lpwstr>
  </property>
  <property fmtid="{D5CDD505-2E9C-101B-9397-08002B2CF9AE}" pid="7" name="MSIP_Label_53cc820c-7ecf-4d66-ad4f-3d23d4695006_ActionId">
    <vt:lpwstr>6b7d8bc7-83d1-42a0-a1b8-2e371daf70e4</vt:lpwstr>
  </property>
  <property fmtid="{D5CDD505-2E9C-101B-9397-08002B2CF9AE}" pid="8" name="MSIP_Label_53cc820c-7ecf-4d66-ad4f-3d23d4695006_ContentBits">
    <vt:lpwstr>0</vt:lpwstr>
  </property>
</Properties>
</file>